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A RIOJA\"/>
    </mc:Choice>
  </mc:AlternateContent>
  <workbookProtection workbookAlgorithmName="SHA-512" workbookHashValue="FwinqN5etG5dNcrvo2vYGnJlzMgJjbbrhr3Xo1R44SwlnEvsF7aWnmWZjTkhe/WFgZ+YWRSzb0AtWUI3gv7yKA==" workbookSaltValue="lfuPAzzmaDZiT1yE1xyb2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F12" i="21" s="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M13" i="2"/>
  <c r="N13" i="2"/>
  <c r="T13" i="12"/>
  <c r="T13" i="16"/>
  <c r="T13" i="20"/>
  <c r="BF15" i="8"/>
  <c r="AU18" i="21"/>
  <c r="AH13" i="16"/>
  <c r="AP13" i="16"/>
  <c r="T18" i="17"/>
  <c r="BG15" i="13"/>
  <c r="BE15" i="13"/>
  <c r="AX20" i="20"/>
  <c r="AC19" i="8" l="1"/>
  <c r="AL16" i="11"/>
  <c r="C16" i="6"/>
  <c r="S19" i="8"/>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G18" i="14"/>
  <c r="AV20" i="20"/>
  <c r="AE20" i="20"/>
  <c r="AB20" i="20"/>
  <c r="Y20" i="20"/>
  <c r="I20" i="20"/>
  <c r="W20" i="21"/>
  <c r="AZ20" i="20"/>
  <c r="J20" i="20"/>
  <c r="R20" i="20"/>
  <c r="U10" i="11"/>
  <c r="U16" i="11"/>
  <c r="AM20" i="20"/>
  <c r="G13" i="14"/>
  <c r="X20" i="20"/>
  <c r="P20" i="20"/>
  <c r="L20" i="20"/>
  <c r="AN20" i="20"/>
  <c r="M20" i="20"/>
  <c r="AO20" i="20"/>
  <c r="AA20" i="20"/>
  <c r="T20" i="21"/>
  <c r="N20" i="20"/>
  <c r="AJ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P17" i="11"/>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I17" i="12"/>
  <c r="BW21" i="20"/>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BF13" i="8" l="1"/>
  <c r="AO13" i="17"/>
  <c r="BE13" i="8"/>
  <c r="Q16" i="11"/>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L20" i="11"/>
  <c r="E20" i="11"/>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AJ20" i="21"/>
  <c r="AV20" i="17"/>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<sst xmlns="http://schemas.openxmlformats.org/spreadsheetml/2006/main" count="2102" uniqueCount="917">
  <si>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</si>
  <si>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</si>
  <si>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</si>
  <si>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</si>
  <si>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</si>
  <si>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</si>
  <si>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</si>
  <si>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</si>
  <si>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</si>
  <si>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</si>
  <si>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</si>
  <si>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</si>
  <si>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</si>
  <si>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</si>
  <si>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</si>
  <si>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</si>
  <si>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</si>
  <si>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</si>
  <si>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</si>
  <si>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</si>
  <si>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</si>
  <si>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</si>
  <si>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</si>
  <si>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</si>
  <si>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</si>
  <si>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</si>
  <si>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</si>
  <si>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</si>
  <si>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</si>
  <si>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</si>
  <si>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</si>
  <si>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</si>
  <si>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</si>
  <si>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</si>
  <si>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</si>
  <si>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</si>
  <si>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</si>
  <si>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</si>
  <si>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</si>
  <si>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</si>
  <si>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</si>
  <si>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</si>
  <si>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</si>
  <si>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</si>
  <si>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</si>
  <si>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</si>
  <si>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</si>
  <si>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</si>
  <si>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</si>
  <si>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</si>
  <si>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</si>
  <si>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</si>
  <si>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</si>
  <si>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</si>
  <si>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</si>
  <si>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</si>
  <si>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</si>
  <si>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</si>
  <si>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</si>
  <si>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</si>
  <si>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</si>
  <si>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</si>
  <si>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</si>
  <si>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</si>
  <si>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</si>
  <si>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</si>
  <si>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</si>
  <si>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</si>
  <si>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</si>
  <si>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</si>
  <si>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</si>
  <si>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</si>
  <si>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</si>
  <si>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</si>
  <si>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</si>
  <si>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</si>
  <si>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</si>
  <si>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</si>
  <si>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</si>
  <si>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</si>
  <si>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</si>
  <si>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</si>
  <si>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</si>
  <si>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</si>
  <si>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</si>
  <si>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</si>
  <si>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</si>
  <si>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</si>
  <si>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</si>
  <si>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</si>
  <si>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</si>
  <si>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</si>
  <si>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</si>
  <si>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</si>
  <si>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</si>
  <si>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</si>
  <si>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</si>
  <si>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</si>
  <si>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</si>
  <si>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</si>
  <si>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</si>
  <si>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</si>
  <si>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</si>
  <si>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</si>
  <si>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</si>
  <si>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</si>
  <si>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</si>
  <si>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</si>
  <si>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</si>
  <si>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</si>
  <si>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</si>
  <si>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</si>
  <si>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</si>
  <si>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</si>
  <si>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</si>
  <si>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</si>
  <si>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</si>
  <si>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</si>
  <si>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</si>
  <si>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</si>
  <si>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</si>
  <si>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</si>
  <si>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</si>
  <si>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</si>
  <si>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</si>
  <si>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</si>
  <si>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</si>
  <si>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</si>
  <si>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</si>
  <si>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</si>
  <si>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</si>
  <si>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</si>
  <si>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</si>
  <si>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</si>
  <si>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</si>
  <si>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</si>
  <si>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</si>
  <si>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</si>
  <si>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</si>
  <si>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</si>
  <si>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</si>
  <si>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</si>
  <si>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</si>
  <si>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</si>
  <si>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</si>
  <si>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</si>
  <si>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</si>
  <si>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</si>
  <si>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</si>
  <si>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</si>
  <si>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</si>
  <si>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</si>
  <si>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</si>
  <si>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</si>
  <si>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</si>
  <si>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</si>
  <si>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</si>
  <si>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</si>
  <si>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</si>
  <si>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</si>
  <si>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</si>
  <si>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</si>
  <si>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</si>
  <si>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</si>
  <si>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</si>
  <si>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</si>
  <si>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</si>
  <si>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</si>
  <si>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</si>
  <si>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</si>
  <si>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</si>
  <si>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</si>
  <si>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</si>
  <si>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</si>
  <si>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</si>
  <si>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</si>
  <si>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</si>
  <si>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</si>
  <si>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</si>
  <si>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</si>
  <si>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</si>
  <si>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</si>
  <si>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</si>
  <si>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</si>
  <si>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</si>
  <si>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</si>
  <si>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</si>
  <si>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</si>
  <si>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</si>
  <si>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</si>
  <si>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</si>
  <si>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</si>
  <si>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</si>
  <si>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</si>
  <si>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</si>
  <si>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</si>
  <si>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</si>
  <si>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</si>
  <si>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</si>
  <si>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</si>
  <si>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</si>
  <si>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</si>
  <si>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</si>
  <si>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</si>
  <si>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</si>
  <si>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</si>
  <si>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</si>
  <si>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</si>
  <si>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</si>
  <si>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</si>
  <si>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</si>
  <si>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</si>
  <si>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</si>
  <si>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</si>
  <si>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</si>
  <si>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</si>
  <si>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</si>
  <si>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</si>
  <si>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</si>
  <si>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</si>
  <si>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</si>
  <si>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</si>
  <si>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</si>
  <si>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</si>
  <si>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</si>
  <si>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</si>
  <si>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</si>
  <si>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</si>
  <si>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</si>
  <si>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</si>
  <si>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</si>
  <si>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</si>
  <si>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</si>
  <si>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</si>
  <si>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</si>
  <si>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</si>
  <si>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</si>
  <si>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</si>
  <si>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</si>
  <si>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</si>
  <si>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</si>
  <si>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</si>
  <si>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</si>
  <si>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</si>
  <si>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</si>
  <si>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</si>
  <si>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</si>
  <si>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</si>
  <si>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</si>
  <si>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</si>
  <si>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</si>
  <si>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</si>
  <si>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</si>
  <si>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</si>
  <si>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</si>
  <si>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</si>
  <si>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</si>
  <si>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</si>
  <si>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</si>
  <si>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</si>
  <si>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</si>
  <si>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</si>
  <si>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</si>
  <si>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</si>
  <si>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</si>
  <si>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</si>
  <si>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</si>
  <si>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</si>
  <si>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</si>
  <si>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</si>
  <si>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</si>
  <si>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</si>
  <si>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</si>
  <si>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</si>
  <si>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</si>
  <si>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</si>
  <si>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</si>
  <si>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</si>
  <si>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</si>
  <si>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</si>
  <si>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</si>
  <si>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</si>
  <si>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</si>
  <si>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</si>
  <si>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</si>
  <si>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</si>
  <si>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</si>
  <si>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</si>
  <si>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</si>
  <si>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</si>
  <si>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</si>
  <si>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</si>
  <si>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</si>
  <si>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</si>
  <si>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</si>
  <si>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</si>
  <si>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</si>
  <si>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</si>
  <si>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</si>
  <si>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</si>
  <si>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</si>
  <si>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</si>
  <si>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</si>
  <si>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</si>
  <si>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</si>
  <si>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</si>
  <si>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</si>
  <si>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</si>
  <si>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</si>
  <si>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</si>
  <si>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</si>
  <si>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</si>
  <si>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</si>
  <si>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</si>
  <si>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</si>
  <si>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</si>
  <si>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</si>
  <si>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</si>
  <si>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</si>
  <si>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</si>
  <si>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</si>
  <si>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</si>
  <si>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</si>
  <si>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</si>
  <si>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</si>
  <si>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</si>
  <si>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</si>
  <si>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</si>
  <si>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</si>
  <si>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</si>
  <si>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</si>
  <si>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</si>
  <si>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</si>
  <si>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</si>
  <si>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</si>
  <si>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</si>
  <si>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</si>
  <si>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</si>
  <si>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</si>
  <si>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</si>
  <si>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</si>
  <si>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</si>
  <si>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</si>
  <si>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</si>
  <si>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</si>
  <si>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</si>
  <si>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</si>
  <si>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</si>
  <si>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</si>
  <si>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</si>
  <si>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</si>
  <si>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</si>
  <si>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</si>
  <si>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</si>
  <si>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</si>
  <si>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</si>
  <si>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</si>
  <si>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</si>
  <si>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</si>
  <si>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</si>
  <si>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</si>
  <si>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</si>
  <si>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</si>
  <si>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</si>
  <si>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</si>
  <si>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</si>
  <si>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</si>
  <si>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</si>
  <si>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</si>
  <si>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</si>
  <si>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</si>
  <si>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</si>
  <si>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</si>
  <si>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</si>
  <si>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</si>
  <si>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</si>
  <si>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</si>
  <si>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</si>
  <si>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</si>
  <si>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</si>
  <si>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</si>
  <si>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</si>
  <si>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</si>
  <si>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</si>
  <si>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</si>
  <si>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</si>
  <si>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</si>
  <si>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</si>
  <si>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</si>
  <si>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</si>
  <si>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</si>
  <si>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</si>
  <si>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</si>
  <si>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</si>
  <si>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</si>
  <si>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</si>
  <si>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</si>
  <si>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</si>
  <si>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</si>
  <si>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</si>
  <si>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</si>
  <si>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</si>
  <si>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</si>
  <si>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</si>
  <si>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</si>
  <si>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</si>
  <si>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</si>
  <si>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</si>
  <si>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</si>
  <si>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</si>
  <si>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</si>
  <si>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</si>
  <si>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</si>
  <si>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</si>
  <si>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</si>
  <si>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</si>
  <si>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</si>
  <si>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</si>
  <si>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</si>
  <si>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</si>
  <si>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</si>
  <si>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</si>
  <si>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</si>
  <si>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</si>
  <si>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</si>
  <si>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</si>
  <si>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</si>
  <si>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</si>
  <si>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</si>
  <si>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</si>
  <si>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</si>
  <si>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</si>
  <si>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</si>
  <si>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</si>
  <si>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</si>
  <si>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</si>
  <si>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</si>
  <si>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</si>
  <si>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</si>
  <si>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</si>
  <si>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</si>
  <si>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</si>
  <si>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</si>
  <si>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</si>
  <si>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</si>
  <si>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</si>
  <si>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</si>
  <si>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</si>
  <si>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</si>
  <si>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</si>
  <si>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</si>
  <si>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</si>
  <si>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</si>
  <si>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</si>
  <si>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</si>
  <si>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</si>
  <si>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</si>
  <si>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</si>
  <si>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</si>
  <si>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</si>
  <si>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</si>
  <si>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</si>
  <si>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</si>
  <si>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</si>
  <si>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</si>
  <si>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</si>
  <si>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</si>
  <si>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</si>
  <si>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</si>
  <si>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</si>
  <si>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</si>
  <si>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</si>
  <si>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</si>
  <si>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</si>
  <si>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</si>
  <si>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</si>
  <si>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</si>
  <si>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</si>
  <si>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</si>
  <si>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</si>
  <si>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</si>
  <si>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</si>
  <si>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</si>
  <si>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</si>
  <si>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</si>
  <si>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</si>
  <si>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</si>
  <si>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</si>
  <si>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</si>
  <si>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</si>
  <si>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</si>
  <si>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</si>
  <si>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</si>
  <si>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</si>
  <si>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</si>
  <si>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</si>
  <si>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</si>
  <si>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</si>
  <si>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</si>
  <si>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</si>
  <si>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</si>
  <si>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</si>
  <si>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</si>
  <si>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</si>
  <si>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</si>
  <si>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</si>
  <si>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</si>
  <si>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</si>
  <si>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</si>
  <si>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</si>
  <si>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</si>
  <si>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</si>
  <si>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</si>
  <si>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</si>
  <si>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</si>
  <si>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</si>
  <si>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</si>
  <si>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</si>
  <si>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</si>
  <si>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</si>
  <si>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</si>
  <si>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</si>
  <si>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</si>
  <si>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</si>
  <si>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</si>
  <si>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</si>
  <si>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</si>
  <si>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</si>
  <si>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</si>
  <si>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</si>
  <si>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</si>
  <si>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</si>
  <si>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</si>
  <si>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</si>
  <si>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</si>
  <si>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</si>
  <si>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</si>
  <si>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</si>
  <si>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</si>
  <si>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</si>
  <si>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</si>
  <si>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</si>
  <si>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</si>
  <si>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</si>
  <si>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</si>
  <si>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</si>
  <si>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</si>
  <si>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</si>
  <si>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</si>
  <si>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</si>
  <si>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</si>
  <si>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</si>
  <si>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</si>
  <si>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</si>
  <si>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</si>
  <si>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</si>
  <si>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</si>
  <si>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</si>
  <si>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</si>
  <si>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</si>
  <si>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</si>
  <si>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</si>
  <si>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</si>
  <si>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</si>
  <si>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</si>
  <si>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</si>
  <si>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</si>
  <si>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</si>
  <si>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</si>
  <si>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</si>
  <si>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</si>
  <si>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</si>
  <si>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</si>
  <si>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</si>
  <si>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</si>
  <si>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</si>
  <si>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</si>
  <si>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</si>
  <si>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</si>
  <si>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</si>
  <si>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</si>
  <si>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</si>
  <si>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</si>
  <si>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</si>
  <si>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</si>
  <si>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</si>
  <si>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</si>
  <si>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</si>
  <si>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</si>
  <si>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</si>
  <si>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</si>
  <si>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</si>
  <si>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</si>
  <si>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</si>
  <si>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</si>
  <si>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</si>
  <si>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</si>
  <si>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</si>
  <si>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</si>
  <si>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</si>
  <si>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</si>
  <si>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</si>
  <si>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</si>
  <si>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</si>
  <si>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</si>
  <si>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</si>
  <si>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</si>
  <si>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</si>
  <si>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</si>
  <si>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</si>
  <si>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</si>
  <si>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</si>
  <si>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</si>
  <si>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</si>
  <si>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</si>
  <si>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</si>
  <si>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</si>
  <si>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</si>
  <si>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</si>
  <si>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</si>
  <si>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</si>
  <si>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</si>
  <si>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</si>
  <si>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</si>
  <si>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</si>
  <si>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</si>
  <si>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</si>
  <si>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</si>
  <si>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</si>
  <si>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</si>
  <si>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</si>
  <si>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</si>
  <si>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</si>
  <si>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</si>
  <si>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</si>
  <si>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</si>
  <si>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</si>
  <si>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</si>
  <si>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</si>
  <si>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</si>
  <si>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</si>
  <si>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</si>
  <si>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</si>
  <si>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</si>
  <si>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</si>
  <si>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</si>
  <si>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</si>
  <si>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</si>
  <si>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</si>
  <si>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</si>
  <si>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</si>
  <si>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</si>
  <si>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</si>
  <si>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</si>
  <si>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</si>
  <si>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</si>
  <si>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</si>
  <si>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</si>
  <si>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</si>
  <si>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</si>
  <si>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</si>
  <si>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</si>
  <si>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</si>
  <si>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</si>
  <si>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</si>
  <si>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</si>
  <si>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</si>
  <si>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</si>
  <si>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</si>
  <si>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</si>
  <si>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</si>
  <si>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</si>
  <si>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</si>
  <si>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</si>
  <si>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</si>
  <si>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</si>
  <si>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</si>
  <si>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</si>
  <si>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</si>
  <si>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</si>
  <si>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</si>
  <si>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</si>
  <si>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</si>
  <si>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</si>
  <si>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</si>
  <si>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</si>
  <si>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</si>
  <si>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</si>
  <si>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</si>
  <si>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</si>
  <si>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</si>
  <si>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</si>
  <si>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</si>
  <si>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</si>
  <si>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</si>
  <si>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</si>
  <si>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</si>
  <si>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</si>
  <si>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</si>
  <si>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</si>
  <si>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</si>
  <si>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</si>
  <si>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</si>
  <si>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</si>
  <si>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</si>
  <si>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</si>
  <si>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</si>
  <si>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</si>
  <si>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</si>
  <si>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</si>
  <si>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</si>
  <si>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</si>
  <si>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</si>
  <si>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</si>
  <si>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</si>
  <si>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</si>
  <si>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</si>
  <si>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</si>
  <si>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</si>
  <si>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</si>
  <si>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</si>
  <si>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</si>
  <si>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</si>
  <si>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</si>
  <si>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</si>
  <si>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</si>
  <si>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</si>
  <si>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</si>
  <si>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</si>
  <si>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</si>
  <si>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</si>
  <si>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</si>
  <si>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</si>
  <si>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</si>
  <si>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</si>
  <si>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</si>
  <si>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</si>
  <si>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</si>
  <si>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</si>
  <si>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</si>
  <si>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</si>
  <si>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</si>
  <si>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</si>
  <si>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</si>
  <si>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</si>
  <si>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</si>
  <si>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</si>
  <si>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</si>
  <si>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</si>
  <si>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</si>
  <si>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</si>
  <si>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</si>
  <si>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</si>
  <si>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</si>
  <si>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</si>
  <si>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</si>
  <si>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</si>
  <si>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</si>
  <si>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</si>
  <si>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</si>
  <si>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</si>
  <si>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</si>
  <si>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</si>
  <si>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</si>
  <si>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</si>
  <si>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</si>
  <si>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</si>
  <si>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</si>
  <si>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</si>
  <si>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</si>
  <si>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</si>
  <si>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</si>
  <si>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</si>
  <si>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</si>
  <si>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</si>
  <si>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</si>
  <si>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</si>
  <si>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</si>
  <si>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</si>
  <si>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</si>
  <si>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</si>
  <si>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</si>
  <si>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</si>
  <si>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</si>
  <si>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</si>
  <si>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</si>
  <si>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</si>
  <si>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</si>
  <si>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</si>
  <si>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</si>
  <si>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</si>
  <si>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</si>
  <si>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</si>
  <si>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</si>
  <si>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</si>
  <si>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</si>
  <si>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</si>
  <si>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</si>
  <si>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</si>
  <si>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</si>
  <si>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</si>
  <si>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</si>
  <si>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</si>
  <si>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</si>
  <si>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</si>
  <si>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</si>
  <si>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</si>
  <si>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</si>
  <si>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</si>
  <si>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</si>
  <si>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</si>
  <si>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</si>
  <si>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</si>
  <si>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</si>
  <si>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</si>
  <si>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</si>
  <si>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</si>
  <si>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</si>
  <si>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</si>
  <si>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</si>
  <si>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</si>
  <si>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</si>
  <si>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</si>
  <si>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</si>
  <si>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</si>
  <si>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</si>
  <si>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</si>
  <si>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</si>
  <si>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</si>
  <si>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</si>
  <si>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</si>
  <si>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</si>
  <si>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</si>
  <si>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</si>
  <si>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</si>
  <si>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</si>
  <si>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</si>
  <si>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</si>
  <si>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</si>
  <si>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</si>
  <si>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</si>
  <si>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</si>
  <si>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</si>
  <si>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</si>
  <si>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</si>
  <si>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</si>
  <si>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</si>
  <si>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</si>
  <si>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</si>
  <si>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</si>
  <si>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</si>
  <si>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</si>
  <si>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</si>
  <si>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</si>
  <si>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</si>
  <si>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</si>
  <si>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</si>
  <si>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</si>
  <si>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</si>
  <si>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</si>
  <si>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</si>
  <si>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</si>
  <si>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</si>
  <si>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</si>
  <si>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</si>
  <si>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</si>
  <si>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</si>
  <si>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</si>
  <si>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</si>
  <si>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</si>
  <si>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</si>
  <si>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</si>
  <si>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</si>
  <si>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</si>
  <si>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</si>
  <si>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</si>
  <si>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</si>
  <si>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</si>
  <si>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</si>
  <si>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</si>
  <si>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</si>
  <si>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</si>
  <si>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</si>
  <si>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</si>
  <si>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</si>
  <si>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</si>
  <si>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</si>
  <si>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</si>
  <si>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</si>
  <si>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</si>
  <si>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</si>
  <si>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</si>
  <si>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</si>
  <si>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</si>
  <si>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</si>
  <si>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</si>
  <si>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</si>
  <si>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</si>
  <si>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</si>
  <si>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</si>
  <si>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</si>
  <si>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</si>
  <si>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</si>
  <si>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</si>
  <si>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</si>
  <si>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</si>
  <si>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</si>
  <si>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</si>
  <si>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</si>
  <si>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</si>
  <si>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</si>
  <si>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</si>
  <si>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</si>
  <si>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LA RIOJA</t>
  </si>
  <si>
    <t>Provincias</t>
  </si>
  <si>
    <t>Resumenes por Partidos Judiciales</t>
  </si>
  <si>
    <t>HARO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</si>
</sst>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eLWBJLvBSJ4YRmKN3z8Fj6pLqlM0Zj1qWEpcBDyHhbd8X50EveSyPhVd2t/sYJa9Cydk7IXIcL1CsYvujnXsA==" saltValue="TWVaG4+5vCXOootyYrDsY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LA RIOJA</v>
      </c>
      <c r="C2" s="375"/>
      <c r="D2" s="375"/>
      <c r="E2" s="375"/>
      <c r="F2" s="375"/>
    </row>
    <row r="3" spans="1:69" ht="19.5">
      <c r="A3" s="390" t="s">
        <v>115</v>
      </c>
      <c r="B3" s="391" t="str">
        <f>Criterios!A10 &amp;"  "&amp;Criterios!B10</f>
        <v>Provincias  LA RIOJA</v>
      </c>
      <c r="D3" s="375"/>
      <c r="E3" s="375"/>
      <c r="F3" s="375"/>
      <c r="BQ3" s="471"/>
    </row>
    <row r="4" spans="1:69" ht="13.5" thickBot="1">
      <c r="A4" s="375"/>
      <c r="B4" s="391" t="str">
        <f>Criterios!A11 &amp;"  "&amp;Criterios!B11</f>
        <v>Resumenes por Partidos Judiciales  HARO</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8</v>
      </c>
      <c r="F10" s="404">
        <f>IF(ISNUMBER(E10/B10),E10/B10," - ")</f>
        <v>8</v>
      </c>
      <c r="G10" s="403">
        <f>IF(ISNUMBER(Datos!K10),Datos!K10," - ")</f>
        <v>4</v>
      </c>
      <c r="H10" s="404">
        <f>IF(ISNUMBER(G10/B10),G10/B10," - ")</f>
        <v>4</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1133</v>
      </c>
      <c r="D12" s="404">
        <f>IF(ISNUMBER(C12/Datos!BH12),C12/Datos!BH12," - ")</f>
        <v>566.5</v>
      </c>
      <c r="E12" s="403">
        <f>IF(ISNUMBER(IF(J_V="SI",Datos!J12,Datos!J12+Datos!Z12)),IF(J_V="SI",Datos!J12,Datos!J12+Datos!Z12)," - ")</f>
        <v>1552</v>
      </c>
      <c r="F12" s="404">
        <f>IF(ISNUMBER(E12/B12),E12/B12," - ")</f>
        <v>776</v>
      </c>
      <c r="G12" s="403">
        <f>IF(ISNUMBER(IF(J_V="SI",Datos!K12,Datos!K12+Datos!AA12)),IF(J_V="SI",Datos!K12,Datos!K12+Datos!AA12)," - ")</f>
        <v>1844</v>
      </c>
      <c r="H12" s="404">
        <f>IF(ISNUMBER(G12/B12),G12/B12," - ")</f>
        <v>922</v>
      </c>
      <c r="I12" s="403">
        <f>IF(ISNUMBER(IF(J_V="SI",Datos!L12,Datos!L12+Datos!AB12)),IF(J_V="SI",Datos!L12,Datos!L12+Datos!AB12)," - ")</f>
        <v>841</v>
      </c>
      <c r="J12" s="404">
        <f>IF(ISNUMBER(I12/B12),I12/B12," - ")</f>
        <v>420.5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1133</v>
      </c>
      <c r="D13" s="850" t="str">
        <f>IF(ISNUMBER(C13/Datos!BI13),C13/Datos!BI13," - ")</f>
        <v xml:space="preserve"> - </v>
      </c>
      <c r="E13" s="849">
        <f>SUBTOTAL(9,E8:E12)</f>
        <v>1560</v>
      </c>
      <c r="F13" s="850">
        <f>IF(ISNUMBER(E13/B13),E13/B13," - ")</f>
        <v>780</v>
      </c>
      <c r="G13" s="849">
        <f>SUBTOTAL(9,G8:G12)</f>
        <v>1848</v>
      </c>
      <c r="H13" s="850">
        <f>IF(ISNUMBER(G13/B13),G13/B13," - ")</f>
        <v>924</v>
      </c>
      <c r="I13" s="849">
        <f>SUBTOTAL(9,I8:I12)</f>
        <v>845</v>
      </c>
      <c r="J13" s="850">
        <f>IF(ISNUMBER(I13/B13),I13/B13," - ")</f>
        <v>422.5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483</v>
      </c>
      <c r="D16" s="404">
        <f>IF(ISNUMBER(C16/Datos!BH16),C16/Datos!BH16," - ")</f>
        <v>241.5</v>
      </c>
      <c r="E16" s="403">
        <f>IF(ISNUMBER(IF(D_I="SI",Datos!J16,Datos!J16+Datos!AD16)),IF(D_I="SI",Datos!J16,Datos!J16+Datos!AD16)," - ")</f>
        <v>1027</v>
      </c>
      <c r="F16" s="404">
        <f>IF(ISNUMBER(E16/B16),E16/B16," - ")</f>
        <v>513.5</v>
      </c>
      <c r="G16" s="403">
        <f>IF(ISNUMBER(IF(D_I="SI",Datos!K16,Datos!K16+Datos!AE16)),IF(D_I="SI",Datos!K16,Datos!K16+Datos!AE16)," - ")</f>
        <v>978</v>
      </c>
      <c r="H16" s="404">
        <f>IF(ISNUMBER(G16/B16),G16/B16," - ")</f>
        <v>489</v>
      </c>
      <c r="I16" s="403">
        <f>IF(ISNUMBER(IF(D_I="SI",Datos!L16,Datos!L16+Datos!AF16)),IF(D_I="SI",Datos!L16,Datos!L16+Datos!AF16)," - ")</f>
        <v>548</v>
      </c>
      <c r="J16" s="404">
        <f>IF(ISNUMBER(I16/B16),I16/B16," - ")</f>
        <v>274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48</v>
      </c>
      <c r="D17" s="404">
        <f>IF(ISNUMBER(C17/Datos!BH17),C17/Datos!BH17," - ")</f>
        <v>48</v>
      </c>
      <c r="E17" s="403">
        <f>IF(ISNUMBER(IF(D_I="SI",Datos!J17,Datos!J17+Datos!AD17)),IF(D_I="SI",Datos!J17,Datos!J17+Datos!AD17)," - ")</f>
        <v>80</v>
      </c>
      <c r="F17" s="404">
        <f>IF(ISNUMBER(E17/B17),E17/B17," - ")</f>
        <v>80</v>
      </c>
      <c r="G17" s="403">
        <f>IF(ISNUMBER(IF(D_I="SI",Datos!K17,Datos!K17+Datos!AE17)),IF(D_I="SI",Datos!K17,Datos!K17+Datos!AE17)," - ")</f>
        <v>91</v>
      </c>
      <c r="H17" s="404">
        <f>IF(ISNUMBER(G17/B17),G17/B17," - ")</f>
        <v>91</v>
      </c>
      <c r="I17" s="403">
        <f>IF(ISNUMBER(IF(D_I="SI",Datos!L17,Datos!L17+Datos!AF17)),IF(D_I="SI",Datos!L17,Datos!L17+Datos!AF17)," - ")</f>
        <v>37</v>
      </c>
      <c r="J17" s="404">
        <f>IF(ISNUMBER(I17/B17),I17/B17," - ")</f>
        <v>37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531</v>
      </c>
      <c r="D18" s="850" t="str">
        <f>IF(ISNUMBER(C18/Datos!BI18),C18/Datos!BI18," - ")</f>
        <v xml:space="preserve"> - </v>
      </c>
      <c r="E18" s="849">
        <f>SUBTOTAL(9,E14:E17)</f>
        <v>1107</v>
      </c>
      <c r="F18" s="850">
        <f>IF(ISNUMBER(E18/B18),E18/B18," - ")</f>
        <v>553.5</v>
      </c>
      <c r="G18" s="849">
        <f>SUBTOTAL(9,G14:G17)</f>
        <v>1069</v>
      </c>
      <c r="H18" s="850">
        <f>IF(ISNUMBER(G18/B18),G18/B18," - ")</f>
        <v>534.5</v>
      </c>
      <c r="I18" s="849">
        <f>SUBTOTAL(9,I14:I17)</f>
        <v>585</v>
      </c>
      <c r="J18" s="850">
        <f>IF(ISNUMBER(I18/B18),I18/B18," - ")</f>
        <v>292.5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1664</v>
      </c>
      <c r="D19" s="795" t="str">
        <f>IF(ISNUMBER(C19/Datos!BI19),C19/Datos!BI19," - ")</f>
        <v xml:space="preserve"> - </v>
      </c>
      <c r="E19" s="794">
        <f>SUBTOTAL(9,E9:E18)</f>
        <v>2667</v>
      </c>
      <c r="F19" s="795">
        <f>IF(ISNUMBER(E19/B19),E19/B19," - ")</f>
        <v>1333.5</v>
      </c>
      <c r="G19" s="794">
        <f>SUBTOTAL(9,G9:G18)</f>
        <v>2917</v>
      </c>
      <c r="H19" s="795">
        <f>IF(ISNUMBER(G19/B19),G19/B19," - ")</f>
        <v>1458.5</v>
      </c>
      <c r="I19" s="794">
        <f>SUBTOTAL(9,I9:I18)</f>
        <v>1430</v>
      </c>
      <c r="J19" s="795">
        <f>IF(ISNUMBER(I19/B19),I19/B19," - ")</f>
        <v>715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Pl8+xz9Xd4EkJ+h4j4O4NKNTYTFsLtcSLXves2B1oGFl0PmU7k0xub9IRjT1utTO1Zx7qgt3zX7A/3Gc/AL9zQ==" saltValue="qHI7IoqMDktx5pWjQ9X9W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LA RIOJA</v>
      </c>
      <c r="C2" s="375"/>
      <c r="E2" s="375"/>
      <c r="F2" s="375"/>
      <c r="G2" s="375"/>
      <c r="H2" s="375"/>
    </row>
    <row r="3" spans="1:15" ht="39">
      <c r="A3" s="415" t="s">
        <v>218</v>
      </c>
      <c r="B3" s="391" t="str">
        <f>Criterios!A10 &amp;"  "&amp;Criterios!B10</f>
        <v>Provincias  LA RIOJA</v>
      </c>
      <c r="C3" s="415"/>
      <c r="F3" s="375"/>
      <c r="G3" s="375"/>
      <c r="H3" s="375"/>
    </row>
    <row r="4" spans="1:15" ht="13.5" thickBot="1">
      <c r="A4" s="375"/>
      <c r="B4" s="391" t="str">
        <f>Criterios!A11 &amp;"  "&amp;Criterios!B11</f>
        <v>Resumenes por Partidos Judiciales  HARO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C4T8pP4fADu1QFchtdzCuamkIjKQkt5gHcg2Oo2Z90uQ4Z5FAnrtwxPQvWuA6FPOrxz5zO2bZXhqpZTUnzipHw==" saltValue="+vYsNzEBIzDxJZKQv1vlh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LA RIOJA</v>
      </c>
      <c r="C2" s="391"/>
    </row>
    <row r="3" spans="1:78" ht="19.5">
      <c r="A3" s="425" t="s">
        <v>11</v>
      </c>
      <c r="B3" s="391" t="str">
        <f>Criterios!A10 &amp;"  "&amp;Criterios!B10</f>
        <v>Provincias  LA RIOJA</v>
      </c>
      <c r="C3" s="391"/>
      <c r="D3" s="425"/>
      <c r="BZ3" s="471"/>
    </row>
    <row r="4" spans="1:78" ht="13.5" thickBot="1">
      <c r="B4" s="391" t="str">
        <f>Criterios!A11 &amp;"  "&amp;Criterios!B11</f>
        <v>Resumenes por Partidos Judiciales  HARO</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454</v>
      </c>
      <c r="E12" s="404">
        <f t="shared" si="0"/>
        <v>227</v>
      </c>
      <c r="F12" s="403">
        <f>IF(ISNUMBER(Datos!N12),Datos!N12," - ")</f>
        <v>763</v>
      </c>
      <c r="G12" s="404">
        <f t="shared" si="1"/>
        <v>381.5</v>
      </c>
      <c r="H12" s="403">
        <f>IF(ISNUMBER(Datos!O12),Datos!O12," - ")</f>
        <v>753</v>
      </c>
      <c r="I12" s="404">
        <f t="shared" si="2"/>
        <v>376.5</v>
      </c>
      <c r="BZ12" s="1186">
        <f>Datos!EZ12</f>
        <v>0</v>
      </c>
    </row>
    <row r="13" spans="1:78" ht="14.25" thickTop="1" thickBot="1">
      <c r="A13" s="848" t="str">
        <f>Datos!A13</f>
        <v>TOTAL</v>
      </c>
      <c r="B13" s="849">
        <f>Datos!AP13</f>
        <v>2</v>
      </c>
      <c r="C13" s="851">
        <f>Datos!AR13</f>
        <v>2</v>
      </c>
      <c r="D13" s="849">
        <f>SUBTOTAL(9,D9:D12)</f>
        <v>456</v>
      </c>
      <c r="E13" s="850">
        <f t="shared" si="0"/>
        <v>228</v>
      </c>
      <c r="F13" s="849">
        <f>SUBTOTAL(9,F9:F12)</f>
        <v>764</v>
      </c>
      <c r="G13" s="850">
        <f t="shared" si="1"/>
        <v>382</v>
      </c>
      <c r="H13" s="849">
        <f>SUBTOTAL(9,H9:H12)</f>
        <v>753</v>
      </c>
      <c r="I13" s="850">
        <f>IF(ISNUMBER(H13/B13),H13/B13," - ")</f>
        <v>376.5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150</v>
      </c>
      <c r="E16" s="404">
        <f t="shared" si="3"/>
        <v>75</v>
      </c>
      <c r="F16" s="403">
        <f>IF(ISNUMBER(Datos!N16),Datos!N16," - ")</f>
        <v>396</v>
      </c>
      <c r="G16" s="404">
        <f t="shared" si="4"/>
        <v>198</v>
      </c>
      <c r="H16" s="403">
        <f>IF(ISNUMBER(Datos!O16),Datos!O16," - ")</f>
        <v>40</v>
      </c>
      <c r="I16" s="404">
        <f t="shared" si="5"/>
        <v>20</v>
      </c>
      <c r="BZ16" s="1186">
        <f>Datos!EZ16</f>
        <v>0</v>
      </c>
    </row>
    <row r="17" spans="1:78" ht="13.5" thickBot="1">
      <c r="A17" s="402" t="str">
        <f>Datos!A17</f>
        <v>Jdos. Violencia contra la mujer</v>
      </c>
      <c r="B17" s="427">
        <f>Datos!AO17</f>
        <v>1</v>
      </c>
      <c r="C17" s="428">
        <f>Datos!AQ17</f>
        <v>0</v>
      </c>
      <c r="D17" s="403">
        <f>IF(ISNUMBER(Datos!M17),Datos!M17," - ")</f>
        <v>11</v>
      </c>
      <c r="E17" s="404">
        <f>IF(ISNUMBER(D17/B17),D17/B17," - ")</f>
        <v>11</v>
      </c>
      <c r="F17" s="403">
        <f>IF(ISNUMBER(Datos!N17),Datos!N17," - ")</f>
        <v>59</v>
      </c>
      <c r="G17" s="404">
        <f>IF(ISNUMBER(F17/B17),F17/B17," - ")</f>
        <v>59</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161</v>
      </c>
      <c r="E18" s="850">
        <f t="shared" si="3"/>
        <v>80.5</v>
      </c>
      <c r="F18" s="849">
        <f>SUBTOTAL(9,F15:F17)</f>
        <v>455</v>
      </c>
      <c r="G18" s="850">
        <f t="shared" si="4"/>
        <v>227.5</v>
      </c>
      <c r="H18" s="849">
        <f>SUBTOTAL(9,H15:H17)</f>
        <v>40</v>
      </c>
      <c r="I18" s="850">
        <f>IF(ISNUMBER(H18/B18),H18/B18," - ")</f>
        <v>20</v>
      </c>
      <c r="BZ18" s="1186"/>
    </row>
    <row r="19" spans="1:78" ht="14.25" thickTop="1" thickBot="1">
      <c r="A19" s="793" t="str">
        <f>Datos!A19</f>
        <v>TOTAL JURISDICCIONES</v>
      </c>
      <c r="B19" s="794">
        <f>Datos!AP19</f>
        <v>2</v>
      </c>
      <c r="C19" s="794">
        <f>Datos!AR19</f>
        <v>2</v>
      </c>
      <c r="D19" s="794">
        <f>SUBTOTAL(9,D8:D18)</f>
        <v>617</v>
      </c>
      <c r="E19" s="795">
        <f>IF(ISNUMBER(D19/B19),D19/B19," - ")</f>
        <v>308.5</v>
      </c>
      <c r="F19" s="794">
        <f>SUBTOTAL(9,F8:F18)</f>
        <v>1219</v>
      </c>
      <c r="G19" s="795">
        <f>IF(ISNUMBER(F19/B19),F19/B19," - ")</f>
        <v>609.5</v>
      </c>
      <c r="H19" s="794">
        <f>SUBTOTAL(9,H8:H18)</f>
        <v>793</v>
      </c>
      <c r="I19" s="795">
        <f>IF(ISNUMBER(H19/B19),H19/B19," - ")</f>
        <v>396.5</v>
      </c>
    </row>
    <row r="22" spans="1:78">
      <c r="A22" s="391" t="str">
        <f>Criterios!A4</f>
        <v>Fecha Informe: 28 feb. 2025</v>
      </c>
    </row>
    <row r="27" spans="1:78">
      <c r="A27" s="414"/>
    </row>
  </sheetData>
  <sheetProtection algorithmName="SHA-512" hashValue="hY4RjKSv6/L0wizBHbTbi7SOd898VGCziAGzxBP+NMKa0RamaptIkLAdmqlI9yh7/Azdr/iIqmcZZ0yr9CF49w==" saltValue="t84pkiD6JTcSTWvHhd3Sx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LA RIOJA</v>
      </c>
    </row>
    <row r="3" spans="1:4" ht="19.5">
      <c r="A3" s="429" t="s">
        <v>32</v>
      </c>
      <c r="B3" s="391" t="str">
        <f>Criterios!A10 &amp;"  "&amp;Criterios!B10</f>
        <v>Provincias  LA RIOJA</v>
      </c>
    </row>
    <row r="4" spans="1:4" ht="13.5" thickBot="1">
      <c r="B4" s="391" t="str">
        <f>Criterios!A11 &amp;"  "&amp;Criterios!B11</f>
        <v>Resumenes por Partidos Judiciales  HARO</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5</v>
      </c>
      <c r="C10" s="434">
        <f>IF(ISNUMBER(Datos!Q10),Datos!Q10," - ")</f>
        <v>0</v>
      </c>
      <c r="D10" s="408">
        <f>IF(ISNUMBER(Datos!R10),Datos!R10," - ")</f>
        <v>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424</v>
      </c>
      <c r="C12" s="434">
        <f>IF(ISNUMBER(Datos!Q12),Datos!Q12," - ")</f>
        <v>411</v>
      </c>
      <c r="D12" s="408">
        <f>IF(ISNUMBER(Datos!R12),Datos!R12," - ")</f>
        <v>1487</v>
      </c>
    </row>
    <row r="13" spans="1:4" ht="14.25" thickTop="1" thickBot="1">
      <c r="A13" s="848" t="str">
        <f>Datos!A13</f>
        <v>TOTAL</v>
      </c>
      <c r="B13" s="849">
        <f>SUBTOTAL(9,B9:B12)</f>
        <v>429</v>
      </c>
      <c r="C13" s="853">
        <f>SUBTOTAL(9,C9:C12)</f>
        <v>411</v>
      </c>
      <c r="D13" s="851">
        <f>SUBTOTAL(9,D9:D12)</f>
        <v>1492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33</v>
      </c>
      <c r="C16" s="434">
        <f>IF(ISNUMBER(Datos!Q16),Datos!Q16," - ")</f>
        <v>56</v>
      </c>
      <c r="D16" s="408">
        <f>IF(ISNUMBER(Datos!R16),Datos!R16," - ")</f>
        <v>62</v>
      </c>
    </row>
    <row r="17" spans="1:4" ht="13.5" thickBot="1">
      <c r="A17" s="402" t="str">
        <f>Datos!A17</f>
        <v>Jdos. Violencia contra la mujer</v>
      </c>
      <c r="B17" s="433">
        <f>IF(ISNUMBER(Datos!P17),Datos!P17," - ")</f>
        <v>0</v>
      </c>
      <c r="C17" s="434">
        <f>IF(ISNUMBER(Datos!Q17),Datos!Q17," - ")</f>
        <v>1</v>
      </c>
      <c r="D17" s="408">
        <f>IF(ISNUMBER(Datos!R17),Datos!R17," - ")</f>
        <v>0</v>
      </c>
    </row>
    <row r="18" spans="1:4" ht="14.25" thickTop="1" thickBot="1">
      <c r="A18" s="848" t="str">
        <f>Datos!A18</f>
        <v>TOTAL</v>
      </c>
      <c r="B18" s="849">
        <f>SUBTOTAL(9,B15:B17)</f>
        <v>33</v>
      </c>
      <c r="C18" s="853">
        <f>SUBTOTAL(9,C15:C17)</f>
        <v>57</v>
      </c>
      <c r="D18" s="851">
        <f>SUBTOTAL(9,D15:D17)</f>
        <v>62</v>
      </c>
    </row>
    <row r="19" spans="1:4" ht="16.5" customHeight="1" thickTop="1" thickBot="1">
      <c r="A19" s="793" t="str">
        <f>Datos!A19</f>
        <v>TOTAL JURISDICCIONES</v>
      </c>
      <c r="B19" s="798">
        <f>SUBTOTAL(9,B8:B18)</f>
        <v>462</v>
      </c>
      <c r="C19" s="799">
        <f>SUBTOTAL(9,C8:C18)</f>
        <v>468</v>
      </c>
      <c r="D19" s="800">
        <f>SUBTOTAL(9,D8:D18)</f>
        <v>1554</v>
      </c>
    </row>
    <row r="20" spans="1:4" ht="7.5" customHeight="1"/>
    <row r="21" spans="1:4" ht="6" customHeight="1"/>
    <row r="22" spans="1:4">
      <c r="A22" s="391" t="str">
        <f>Criterios!A4</f>
        <v>Fecha Informe: 28 feb. 2025</v>
      </c>
    </row>
    <row r="27" spans="1:4">
      <c r="A27" s="414"/>
    </row>
  </sheetData>
  <sheetProtection algorithmName="SHA-512" hashValue="pU5C70t2DF7eXSJXo2X9SdYQ6H6H/FyHWkWXsRgf7xis6PRfblnso6+4bEyYQ6HM83kxvBTugEBXNSW05X56mg==" saltValue="fekzk8XQVx7U5e3bZq+93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LA RIOJA</v>
      </c>
    </row>
    <row r="3" spans="1:11" ht="18.75" customHeight="1">
      <c r="A3" s="429" t="s">
        <v>118</v>
      </c>
      <c r="B3" s="391" t="str">
        <f>Criterios!A10 &amp;"  "&amp;Criterios!B10</f>
        <v>Provincias  LA RIOJA</v>
      </c>
    </row>
    <row r="4" spans="1:11" ht="10.5" customHeight="1" thickBot="1">
      <c r="B4" s="391" t="str">
        <f>Criterios!A11 &amp;"  "&amp;Criterios!B11</f>
        <v>Resumenes por Partidos Judiciales  HARO</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0.30229885057471262</v>
      </c>
      <c r="C12" s="456">
        <f>IF(ISNUMBER(
   IF(J_V="SI",(Datos!J12-Datos!T12)/Datos!T12,(Datos!J12+Datos!Z12-(Datos!T12+Datos!AH12))/(Datos!T12+Datos!AH12))
     ),IF(J_V="SI",(Datos!J12-Datos!T12)/Datos!T12,(Datos!J12+Datos!Z12-(Datos!T12+Datos!AH12))/(Datos!T12+Datos!AH12))," - ")</f>
        <v>0.1910974673829624</v>
      </c>
      <c r="D12" s="456">
        <f>IF(ISNUMBER(
   IF(J_V="SI",(Datos!K12-Datos!U12)/Datos!U12,(Datos!K12+Datos!AA12-(Datos!U12+Datos!AI12))/(Datos!U12+Datos!AI12))
     ),IF(J_V="SI",(Datos!K12-Datos!U12)/Datos!U12,(Datos!K12+Datos!AA12-(Datos!U12+Datos!AI12))/(Datos!U12+Datos!AI12))," - ")</f>
        <v>0.77307692307692311</v>
      </c>
      <c r="E12" s="456">
        <f>IF(ISNUMBER(
   IF(J_V="SI",(Datos!L12-Datos!V12)/Datos!V12,(Datos!L12+Datos!AB12-(Datos!V12+Datos!AJ12))/(Datos!V12+Datos!AJ12))
     ),IF(J_V="SI",(Datos!L12-Datos!V12)/Datos!V12,(Datos!L12+Datos!AB12-(Datos!V12+Datos!AJ12))/(Datos!V12+Datos!AJ12))," - ")</f>
        <v>-0.25772285966460723</v>
      </c>
      <c r="F12" s="456">
        <f>IF(ISNUMBER((Datos!M12-Datos!W12)/Datos!W12),(Datos!M12-Datos!W12)/Datos!W12," - ")</f>
        <v>0.86065573770491799</v>
      </c>
      <c r="G12" s="457">
        <f>IF(ISNUMBER((Datos!N12-Datos!X12)/Datos!X12),(Datos!N12-Datos!X12)/Datos!X12," - ")</f>
        <v>1.2375366568914956</v>
      </c>
      <c r="H12" s="455">
        <f>IF(ISNUMBER(((NºAsuntos!G12/NºAsuntos!E12)-Datos!BD12)/Datos!BD12),((NºAsuntos!G12/NºAsuntos!E12)-Datos!BD12)/Datos!BD12," - ")</f>
        <v>0.48860775178429827</v>
      </c>
      <c r="I12" s="456">
        <f>IF(ISNUMBER(((NºAsuntos!I12/NºAsuntos!G12)-Datos!BE12)/Datos!BE12),((NºAsuntos!I12/NºAsuntos!G12)-Datos!BE12)/Datos!BE12," - ")</f>
        <v>-0.58136213343340104</v>
      </c>
      <c r="J12" s="461">
        <f>IF(ISNUMBER((('Resol  Asuntos'!D12/NºAsuntos!G12)-Datos!BF12)/Datos!BF12),(('Resol  Asuntos'!D12/NºAsuntos!G12)-Datos!BF12)/Datos!BF12," - ")</f>
        <v>-0.24911419138555094</v>
      </c>
      <c r="K12" s="462">
        <f>IF(ISNUMBER((((NºAsuntos!C12+NºAsuntos!E12)/NºAsuntos!G12)-Datos!BG12)/Datos!BG12),(((NºAsuntos!C12+NºAsuntos!E12)/NºAsuntos!G12)-Datos!BG12)/Datos!BG12," - ")</f>
        <v>-0.30312162778649032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0.30229885057471262</v>
      </c>
      <c r="C13" s="855">
        <f>IF(ISNUMBER(
   IF(J_V="SI",(Datos!J13-Datos!T13)/Datos!T13,(Datos!J13+Datos!Z13-(Datos!T13+Datos!AH13))/(Datos!T13+Datos!AH13))
     ),IF(J_V="SI",(Datos!J13-Datos!T13)/Datos!T13,(Datos!J13+Datos!Z13-(Datos!T13+Datos!AH13))/(Datos!T13+Datos!AH13))," - ")</f>
        <v>0.19723714504988488</v>
      </c>
      <c r="D13" s="855">
        <f>IF(ISNUMBER(
   IF(J_V="SI",(Datos!K13-Datos!U13)/Datos!U13,(Datos!K13+Datos!AA13-(Datos!U13+Datos!AI13))/(Datos!U13+Datos!AI13))
     ),IF(J_V="SI",(Datos!K13-Datos!U13)/Datos!U13,(Datos!K13+Datos!AA13-(Datos!U13+Datos!AI13))/(Datos!U13+Datos!AI13))," - ")</f>
        <v>0.77692307692307694</v>
      </c>
      <c r="E13" s="855">
        <f>IF(ISNUMBER(
   IF(J_V="SI",(Datos!L13-Datos!V13)/Datos!V13,(Datos!L13+Datos!AB13-(Datos!V13+Datos!AJ13))/(Datos!V13+Datos!AJ13))
     ),IF(J_V="SI",(Datos!L13-Datos!V13)/Datos!V13,(Datos!L13+Datos!AB13-(Datos!V13+Datos!AJ13))/(Datos!V13+Datos!AJ13))," - ")</f>
        <v>-0.25419240953221534</v>
      </c>
      <c r="F13" s="856">
        <f>IF(ISNUMBER((Datos!M13-Datos!W13)/Datos!W13),(Datos!M13-Datos!W13)/Datos!W13," - ")</f>
        <v>0.86885245901639341</v>
      </c>
      <c r="G13" s="857">
        <f>IF(ISNUMBER((Datos!N13-Datos!X13)/Datos!X13),(Datos!N13-Datos!X13)/Datos!X13," - ")</f>
        <v>1.2404692082111437</v>
      </c>
      <c r="H13" s="857">
        <f>IF(ISNUMBER(((NºAsuntos!G13/NºAsuntos!E13)-Datos!BD13)/Datos!BD13),((NºAsuntos!G13/NºAsuntos!E13)-Datos!BD13)/Datos!BD13," - ")</f>
        <v>0.48418639053254448</v>
      </c>
      <c r="I13" s="857">
        <f>IF(ISNUMBER(((NºAsuntos!I13/NºAsuntos!G13)-Datos!BE13)/Datos!BE13),((NºAsuntos!I13/NºAsuntos!G13)-Datos!BE13)/Datos!BE13," - ")</f>
        <v>-0.58028144259388736</v>
      </c>
      <c r="J13" s="857">
        <f>IF(ISNUMBER((('Resol  Asuntos'!D13/NºAsuntos!G13)-Datos!BF13)/Datos!BF13),(('Resol  Asuntos'!D13/NºAsuntos!G13)-Datos!BF13)/Datos!BF13," - ")</f>
        <v>-0.24743877823056709</v>
      </c>
      <c r="K13" s="857">
        <f>IF(ISNUMBER((((NºAsuntos!C13+NºAsuntos!E13)/NºAsuntos!G13)-Datos!BG13)/Datos!BG13),(((NºAsuntos!C13+NºAsuntos!E13)/NºAsuntos!G13)-Datos!BG13)/Datos!BG13," - ")</f>
        <v>-0.30255815667688651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0.24806201550387597</v>
      </c>
      <c r="C16" s="456">
        <f>IF(ISNUMBER(
   IF(D_I="SI",(Datos!J16-Datos!T16)/Datos!T16,(Datos!J16+Datos!AD16-(Datos!T16+Datos!AL16))/(Datos!T16+Datos!AL16))
     ),IF(D_I="SI",(Datos!J16-Datos!T16)/Datos!T16,(Datos!J16+Datos!AD16-(Datos!T16+Datos!AL16))/(Datos!T16+Datos!AL16))," - ")</f>
        <v>-1.8164435946462717E-2</v>
      </c>
      <c r="D16" s="456">
        <f>IF(ISNUMBER(
   IF(D_I="SI",(Datos!K16-Datos!U16)/Datos!U16,(Datos!K16+Datos!AE16-(Datos!U16+Datos!AM16))/(Datos!U16+Datos!AM16))
     ),IF(D_I="SI",(Datos!K16-Datos!U16)/Datos!U16,(Datos!K16+Datos!AE16-(Datos!U16+Datos!AM16))/(Datos!U16+Datos!AM16))," - ")</f>
        <v>2.3012552301255231E-2</v>
      </c>
      <c r="E16" s="456">
        <f>IF(ISNUMBER(
   IF(D_I="SI",(Datos!L16-Datos!V16)/Datos!V16,(Datos!L16+Datos!AF16-(Datos!V16+Datos!AN16))/(Datos!V16+Datos!AN16))
     ),IF(D_I="SI",(Datos!L16-Datos!V16)/Datos!V16,(Datos!L16+Datos!AF16-(Datos!V16+Datos!AN16))/(Datos!V16+Datos!AN16))," - ")</f>
        <v>0.13457556935817805</v>
      </c>
      <c r="F16" s="456">
        <f>IF(ISNUMBER((Datos!M16-Datos!W16)/Datos!W16),(Datos!M16-Datos!W16)/Datos!W16," - ")</f>
        <v>-4.4585987261146494E-2</v>
      </c>
      <c r="G16" s="457">
        <f>IF(ISNUMBER((Datos!N16-Datos!X16)/Datos!X16),(Datos!N16-Datos!X16)/Datos!X16," - ")</f>
        <v>-3.8834951456310676E-2</v>
      </c>
      <c r="H16" s="455">
        <f>IF(ISNUMBER(((NºAsuntos!G16/NºAsuntos!E16)-Datos!BD16)/Datos!BD16),((NºAsuntos!G16/NºAsuntos!E16)-Datos!BD16)/Datos!BD16," - ")</f>
        <v>4.1938782577519977E-2</v>
      </c>
      <c r="I16" s="456">
        <f>IF(ISNUMBER(((NºAsuntos!I16/NºAsuntos!G16)-Datos!BE16)/Datos!BE16),((NºAsuntos!I16/NºAsuntos!G16)-Datos!BE16)/Datos!BE16," - ")</f>
        <v>0.10905341953621472</v>
      </c>
      <c r="J16" s="461">
        <f>IF(ISNUMBER((('Resol  Asuntos'!D16/NºAsuntos!G16)-Datos!BF16)/Datos!BF16),(('Resol  Asuntos'!D16/NºAsuntos!G16)-Datos!BF16)/Datos!BF16," - ")</f>
        <v>-6.6077918018053197E-2</v>
      </c>
      <c r="K16" s="462">
        <f>IF(ISNUMBER((((NºAsuntos!C16+NºAsuntos!E16)/NºAsuntos!G16)-Datos!BG16)/Datos!BG16),(((NºAsuntos!C16+NºAsuntos!E16)/NºAsuntos!G16)-Datos!BG16)/Datos!BG16," - ")</f>
        <v>3.0029811469923732E-2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0.23076923076923078</v>
      </c>
      <c r="C17" s="456">
        <f>IF(ISNUMBER(
   IF(D_I="SI",(Datos!J17-Datos!T17)/Datos!T17,(Datos!J17+Datos!AD17-(Datos!T17+Datos!AL17))/(Datos!T17+Datos!AL17))
     ),IF(D_I="SI",(Datos!J17-Datos!T17)/Datos!T17,(Datos!J17+Datos!AD17-(Datos!T17+Datos!AL17))/(Datos!T17+Datos!AL17))," - ")</f>
        <v>2.564102564102564E-2</v>
      </c>
      <c r="D17" s="456">
        <f>IF(ISNUMBER(
   IF(D_I="SI",(Datos!K17-Datos!U17)/Datos!U17,(Datos!K17+Datos!AE17-(Datos!U17+Datos!AM17))/(Datos!U17+Datos!AM17))
     ),IF(D_I="SI",(Datos!K17-Datos!U17)/Datos!U17,(Datos!K17+Datos!AE17-(Datos!U17+Datos!AM17))/(Datos!U17+Datos!AM17))," - ")</f>
        <v>0.3188405797101449</v>
      </c>
      <c r="E17" s="456">
        <f>IF(ISNUMBER(
   IF(D_I="SI",(Datos!L17-Datos!V17)/Datos!V17,(Datos!L17+Datos!AF17-(Datos!V17+Datos!AN17))/(Datos!V17+Datos!AN17))
     ),IF(D_I="SI",(Datos!L17-Datos!V17)/Datos!V17,(Datos!L17+Datos!AF17-(Datos!V17+Datos!AN17))/(Datos!V17+Datos!AN17))," - ")</f>
        <v>-0.22916666666666666</v>
      </c>
      <c r="F17" s="456">
        <f>IF(ISNUMBER((Datos!M17-Datos!W17)/Datos!W17),(Datos!M17-Datos!W17)/Datos!W17," - ")</f>
        <v>-0.15384615384615385</v>
      </c>
      <c r="G17" s="457">
        <f>IF(ISNUMBER((Datos!N17-Datos!X17)/Datos!X17),(Datos!N17-Datos!X17)/Datos!X17," - ")</f>
        <v>0.15686274509803921</v>
      </c>
      <c r="H17" s="455">
        <f>IF(ISNUMBER(((NºAsuntos!G17/NºAsuntos!E17)-Datos!BD17)/Datos!BD17),((NºAsuntos!G17/NºAsuntos!E17)-Datos!BD17)/Datos!BD17," - ")</f>
        <v>0.28586956521739132</v>
      </c>
      <c r="I17" s="456">
        <f>IF(ISNUMBER(((NºAsuntos!I17/NºAsuntos!G17)-Datos!BE17)/Datos!BE17),((NºAsuntos!I17/NºAsuntos!G17)-Datos!BE17)/Datos!BE17," - ")</f>
        <v>-0.41552197802197799</v>
      </c>
      <c r="J17" s="461">
        <f>IF(ISNUMBER((('Resol  Asuntos'!D17/NºAsuntos!G17)-Datos!BF17)/Datos!BF17),(('Resol  Asuntos'!D17/NºAsuntos!G17)-Datos!BF17)/Datos!BF17," - ")</f>
        <v>-0.35841081994928148</v>
      </c>
      <c r="K17" s="462">
        <f>IF(ISNUMBER((((NºAsuntos!C17+NºAsuntos!E17)/NºAsuntos!G17)-Datos!BG17)/Datos!BG17),(((NºAsuntos!C17+NºAsuntos!E17)/NºAsuntos!G17)-Datos!BG17)/Datos!BG17," - ")</f>
        <v>-0.17047055508593964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0.24647887323943662</v>
      </c>
      <c r="C18" s="855">
        <f>IF(ISNUMBER(
   IF(Criterios!B14="SI",(Datos!J18-Datos!T18)/Datos!T18,(Datos!J18+Datos!AD18-(Datos!T18+Datos!AL18))/(Datos!T18+Datos!AL18))
     ),IF(Criterios!B14="SI",(Datos!J18-Datos!T18)/Datos!T18,(Datos!J18+Datos!AD18-(Datos!T18+Datos!AL18))/(Datos!T18+Datos!AL18))," - ")</f>
        <v>-1.5124555160142349E-2</v>
      </c>
      <c r="D18" s="855">
        <f>IF(ISNUMBER(
   IF(Criterios!B14="SI",(Datos!K18-Datos!U18)/Datos!U18,(Datos!K18+Datos!AE18-(Datos!U18+Datos!AM18))/(Datos!U18+Datos!AM18))
     ),IF(Criterios!B14="SI",(Datos!K18-Datos!U18)/Datos!U18,(Datos!K18+Datos!AE18-(Datos!U18+Datos!AM18))/(Datos!U18+Datos!AM18))," - ")</f>
        <v>4.2926829268292686E-2</v>
      </c>
      <c r="E18" s="855">
        <f>IF(ISNUMBER(
   IF(Criterios!B14="SI",(Datos!L18-Datos!V18)/Datos!V18,(Datos!L18+Datos!AF18-(Datos!V18+Datos!AN18))/(Datos!V18+Datos!AN18))
     ),IF(Criterios!B14="SI",(Datos!L18-Datos!V18)/Datos!V18,(Datos!L18+Datos!AF18-(Datos!V18+Datos!AN18))/(Datos!V18+Datos!AN18))," - ")</f>
        <v>0.10169491525423729</v>
      </c>
      <c r="F18" s="856">
        <f>IF(ISNUMBER((Datos!M18-Datos!W18)/Datos!W18),(Datos!M18-Datos!W18)/Datos!W18," - ")</f>
        <v>-5.2941176470588235E-2</v>
      </c>
      <c r="G18" s="857">
        <f>IF(ISNUMBER((Datos!N18-Datos!X18)/Datos!X18),(Datos!N18-Datos!X18)/Datos!X18," - ")</f>
        <v>-1.7278617710583154E-2</v>
      </c>
      <c r="H18" s="857">
        <f>IF(ISNUMBER(((NºAsuntos!G18/NºAsuntos!E18)-Datos!BD18)/Datos!BD18),((NºAsuntos!G18/NºAsuntos!E18)-Datos!BD18)/Datos!BD18," - ")</f>
        <v>5.8942869103487769E-2</v>
      </c>
      <c r="I18" s="857">
        <f>IF(ISNUMBER(((NºAsuntos!I18/NºAsuntos!G18)-Datos!BE18)/Datos!BE18),((NºAsuntos!I18/NºAsuntos!G18)-Datos!BE18)/Datos!BE18," - ")</f>
        <v>5.6349193765755937E-2</v>
      </c>
      <c r="J18" s="857">
        <f>IF(ISNUMBER((('Resol  Asuntos'!D18/NºAsuntos!G18)-Datos!BF18)/Datos!BF18),(('Resol  Asuntos'!D18/NºAsuntos!G18)-Datos!BF18)/Datos!BF18," - ")</f>
        <v>-9.1922082209871775E-2</v>
      </c>
      <c r="K18" s="857">
        <f>IF(ISNUMBER((((NºAsuntos!C18+NºAsuntos!E18)/NºAsuntos!G18)-Datos!BG18)/Datos!BG18),(((NºAsuntos!C18+NºAsuntos!E18)/NºAsuntos!G18)-Datos!BG18)/Datos!BG18," - ")</f>
        <v>1.3277407284468482E-2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0.2839506172839506</v>
      </c>
      <c r="C19" s="802">
        <f>IF(ISNUMBER(
   IF(J_V="SI",(Datos!J19-Datos!T19)/Datos!T19,(Datos!J19+Datos!Z19-(Datos!T19+Datos!AH19))/(Datos!T19+Datos!AH19))
     ),IF(J_V="SI",(Datos!J19-Datos!T19)/Datos!T19,(Datos!J19+Datos!Z19-(Datos!T19+Datos!AH19))/(Datos!T19+Datos!AH19))," - ")</f>
        <v>9.8887515451174288E-2</v>
      </c>
      <c r="D19" s="802">
        <f>IF(ISNUMBER(
   IF(J_V="SI",(Datos!K19-Datos!U19)/Datos!U19,(Datos!K19+Datos!AA19-(Datos!U19+Datos!AI19))/(Datos!U19+Datos!AI19))
     ),IF(J_V="SI",(Datos!K19-Datos!U19)/Datos!U19,(Datos!K19+Datos!AA19-(Datos!U19+Datos!AI19))/(Datos!U19+Datos!AI19))," - ")</f>
        <v>0.412590799031477</v>
      </c>
      <c r="E19" s="802">
        <f>IF(ISNUMBER(
   IF(J_V="SI",(Datos!L19-Datos!V19)/Datos!V19,(Datos!L19+Datos!AB19-(Datos!V19+Datos!AJ19))/(Datos!V19+Datos!AJ19))
     ),IF(J_V="SI",(Datos!L19-Datos!V19)/Datos!V19,(Datos!L19+Datos!AB19-(Datos!V19+Datos!AJ19))/(Datos!V19+Datos!AJ19))," - ")</f>
        <v>-0.140625</v>
      </c>
      <c r="F19" s="803">
        <f>IF(ISNUMBER((Datos!M19-Datos!W19)/Datos!W19),(Datos!M19-Datos!W19)/Datos!W19," - ")</f>
        <v>0.49033816425120774</v>
      </c>
      <c r="G19" s="804">
        <f>IF(ISNUMBER((Datos!N19-Datos!X19)/Datos!X19),(Datos!N19-Datos!X19)/Datos!X19," - ")</f>
        <v>0.51616915422885568</v>
      </c>
      <c r="H19" s="805">
        <f>IF(ISNUMBER((Tasas!B19-Datos!BD19)/Datos!BD19),(Tasas!B19-Datos!BD19)/Datos!BD19," - ")</f>
        <v>0.28547351677892563</v>
      </c>
      <c r="I19" s="806">
        <f>IF(ISNUMBER((Tasas!C19-Datos!BE19)/Datos!BE19),(Tasas!C19-Datos!BE19)/Datos!BE19," - ")</f>
        <v>-0.39163202776825506</v>
      </c>
      <c r="J19" s="807">
        <f>IF(ISNUMBER((Tasas!D19-Datos!BF19)/Datos!BF19),(Tasas!D19-Datos!BF19)/Datos!BF19," - ")</f>
        <v>-0.1452327170436882</v>
      </c>
      <c r="K19" s="807">
        <f>IF(ISNUMBER((Tasas!E19-Datos!BG19)/Datos!BG19),(Tasas!E19-Datos!BG19)/Datos!BG19," - ")</f>
        <v>-0.17647123280304744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dmP/WJqXTUgkFCK5pr4QHhfXwT0Bu20fS9wy17BG8Unjw6MOJV49tyDwYz5b+C3vSnI1RT5joni7+yA97FyHg==" saltValue="51rQwbM77+cfNnUuhKcBX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LA RIOJA</v>
      </c>
    </row>
    <row r="3" spans="1:7" ht="19.5">
      <c r="A3" s="436" t="s">
        <v>12</v>
      </c>
      <c r="B3" s="391" t="str">
        <f>Criterios!A10 &amp;"  "&amp;Criterios!B10</f>
        <v>Provincias  LA RIOJA</v>
      </c>
    </row>
    <row r="4" spans="1:7" ht="11.25" customHeight="1" thickBot="1">
      <c r="B4" s="391" t="str">
        <f>Criterios!A11 &amp;"  "&amp;Criterios!B11</f>
        <v>Resumenes por Partidos Judiciales  HARO</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1</v>
      </c>
      <c r="D10" s="444">
        <f>IF(ISNUMBER('Resol  Asuntos'!D10/NºAsuntos!G10),'Resol  Asuntos'!D10/NºAsuntos!G10," - ")</f>
        <v>0.5</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1.1881443298969072</v>
      </c>
      <c r="C12" s="443">
        <f>IF(ISNUMBER(NºAsuntos!I12/NºAsuntos!G12),NºAsuntos!I12/NºAsuntos!G12," - ")</f>
        <v>0.45607375271149675</v>
      </c>
      <c r="D12" s="444">
        <f>IF(ISNUMBER('Resol  Asuntos'!D12/NºAsuntos!G12),'Resol  Asuntos'!D12/NºAsuntos!G12," - ")</f>
        <v>0.24620390455531455</v>
      </c>
      <c r="E12" s="445">
        <f>IF(ISNUMBER((NºAsuntos!C12+NºAsuntos!E12)/NºAsuntos!G12),(NºAsuntos!C12+NºAsuntos!E12)/NºAsuntos!G12," - ")</f>
        <v>1.4560737527114966</v>
      </c>
      <c r="G12" s="463"/>
    </row>
    <row r="13" spans="1:7" ht="14.25" thickTop="1" thickBot="1">
      <c r="A13" s="848" t="str">
        <f>Datos!A13</f>
        <v>TOTAL</v>
      </c>
      <c r="B13" s="858">
        <f>IF(ISNUMBER(NºAsuntos!G13/NºAsuntos!E13),NºAsuntos!G13/NºAsuntos!E13," - ")</f>
        <v>1.1846153846153846</v>
      </c>
      <c r="C13" s="859">
        <f>IF(ISNUMBER(NºAsuntos!I13/NºAsuntos!G13),NºAsuntos!I13/NºAsuntos!G13," - ")</f>
        <v>0.45725108225108224</v>
      </c>
      <c r="D13" s="860">
        <f>IF(ISNUMBER('Resol  Asuntos'!D13/NºAsuntos!G13),'Resol  Asuntos'!D13/NºAsuntos!G13," - ")</f>
        <v>0.24675324675324675</v>
      </c>
      <c r="E13" s="861">
        <f>IF(ISNUMBER((NºAsuntos!C13+NºAsuntos!E13)/NºAsuntos!G13),(NºAsuntos!C13+NºAsuntos!E13)/NºAsuntos!G13," - ")</f>
        <v>1.4572510822510822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0.95228821811100295</v>
      </c>
      <c r="C16" s="443">
        <f>IF(ISNUMBER(NºAsuntos!I16/NºAsuntos!G16),NºAsuntos!I16/NºAsuntos!G16," - ")</f>
        <v>0.56032719836400813</v>
      </c>
      <c r="D16" s="444">
        <f>IF(ISNUMBER('Resol  Asuntos'!D16/NºAsuntos!G16),'Resol  Asuntos'!D16/NºAsuntos!G16," - ")</f>
        <v>0.15337423312883436</v>
      </c>
      <c r="E16" s="445">
        <f>IF(ISNUMBER((NºAsuntos!C16+NºAsuntos!E16)/NºAsuntos!G16),(NºAsuntos!C16+NºAsuntos!E16)/NºAsuntos!G16," - ")</f>
        <v>1.5439672801635991</v>
      </c>
      <c r="G16" s="463"/>
    </row>
    <row r="17" spans="1:7" ht="13.5" thickBot="1">
      <c r="A17" s="402" t="str">
        <f>Datos!A17</f>
        <v>Jdos. Violencia contra la mujer</v>
      </c>
      <c r="B17" s="442">
        <f>IF(ISNUMBER(NºAsuntos!G17/NºAsuntos!E17),NºAsuntos!G17/NºAsuntos!E17," - ")</f>
        <v>1.1375</v>
      </c>
      <c r="C17" s="443">
        <f>IF(ISNUMBER(NºAsuntos!I17/NºAsuntos!G17),NºAsuntos!I17/NºAsuntos!G17," - ")</f>
        <v>0.40659340659340659</v>
      </c>
      <c r="D17" s="444">
        <f>IF(ISNUMBER('Resol  Asuntos'!D17/NºAsuntos!G17),'Resol  Asuntos'!D17/NºAsuntos!G17," - ")</f>
        <v>0.12087912087912088</v>
      </c>
      <c r="E17" s="445">
        <f>IF(ISNUMBER((NºAsuntos!C17+NºAsuntos!E17)/NºAsuntos!G17),(NºAsuntos!C17+NºAsuntos!E17)/NºAsuntos!G17," - ")</f>
        <v>1.4065934065934067</v>
      </c>
      <c r="G17" s="463"/>
    </row>
    <row r="18" spans="1:7" ht="14.25" thickTop="1" thickBot="1">
      <c r="A18" s="848" t="str">
        <f>Datos!A18</f>
        <v>TOTAL</v>
      </c>
      <c r="B18" s="858">
        <f>IF(ISNUMBER(NºAsuntos!G18/NºAsuntos!E18),NºAsuntos!G18/NºAsuntos!E18," - ")</f>
        <v>0.96567299006323393</v>
      </c>
      <c r="C18" s="859">
        <f>IF(ISNUMBER(NºAsuntos!I18/NºAsuntos!G18),NºAsuntos!I18/NºAsuntos!G18," - ")</f>
        <v>0.54724041159962578</v>
      </c>
      <c r="D18" s="862">
        <f>IF(ISNUMBER('Resol  Asuntos'!D18/NºAsuntos!G18),'Resol  Asuntos'!D18/NºAsuntos!G18," - ")</f>
        <v>0.15060804490177737</v>
      </c>
      <c r="E18" s="861">
        <f>IF(ISNUMBER((NºAsuntos!C18+NºAsuntos!E18)/NºAsuntos!G18),(NºAsuntos!C18+NºAsuntos!E18)/NºAsuntos!G18," - ")</f>
        <v>1.5322731524789523</v>
      </c>
      <c r="G18" s="463"/>
    </row>
    <row r="19" spans="1:7" ht="15.75" customHeight="1" thickTop="1" thickBot="1">
      <c r="A19" s="793" t="str">
        <f>Datos!A19</f>
        <v>TOTAL JURISDICCIONES</v>
      </c>
      <c r="B19" s="808">
        <f>IF(ISNUMBER(NºAsuntos!G19/NºAsuntos!E19),NºAsuntos!G19/NºAsuntos!E19," - ")</f>
        <v>1.0937382827146607</v>
      </c>
      <c r="C19" s="809">
        <f>IF(ISNUMBER(NºAsuntos!I19/NºAsuntos!G19),NºAsuntos!I19/NºAsuntos!G19," - ")</f>
        <v>0.49022968803565309</v>
      </c>
      <c r="D19" s="810">
        <f>IF(ISNUMBER('Resol  Asuntos'!D19/NºAsuntos!G19),'Resol  Asuntos'!D19/NºAsuntos!G19," - ")</f>
        <v>0.21151868357901954</v>
      </c>
      <c r="E19" s="811">
        <f>IF(ISNUMBER((NºAsuntos!C19+NºAsuntos!E19)/NºAsuntos!G19),(NºAsuntos!C19+NºAsuntos!E19)/NºAsuntos!G19," - ")</f>
        <v>1.4847446006170724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mwlurY9VLW/OJjQUhX2huY9XqzL3tD/8d/EdxDrdhopJkZH98p3oPffY4+M03OlwHgmHi4C9zdnT1t6ppj9Ug==" saltValue="eyJXEbyXyBqz88Cx5NHgN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LA RIOJA</v>
      </c>
      <c r="G2" s="263"/>
      <c r="H2" s="262"/>
      <c r="I2" s="262"/>
      <c r="J2" s="262"/>
      <c r="K2" s="262"/>
      <c r="L2" s="262" t="str">
        <f>Criterios!A10 &amp;"  "&amp;Criterios!B10</f>
        <v>Provincias  LA RIOJA</v>
      </c>
      <c r="N2" s="262" t="str">
        <f>Criterios!A11 &amp;"  "&amp;Criterios!B11</f>
        <v>Resumenes por Partidos Judiciales  HARO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4</v>
      </c>
      <c r="AB10" s="334">
        <f>IF(ISNUMBER(Datos!R10),Datos!R10," - ")</f>
        <v>5</v>
      </c>
      <c r="AC10" s="334">
        <f t="shared" ref="AC10:AC12" si="1">IF(ISNUMBER(AA10+AB10),AA10+AB10," - ")</f>
        <v>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11</v>
      </c>
      <c r="AN10" s="244">
        <f>IF(ISNUMBER('Resol  Asuntos'!D10/NºAsuntos!G10),'Resol  Asuntos'!D10/NºAsuntos!G10," - ")</f>
        <v>0.5</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424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411</v>
      </c>
      <c r="Y12" s="334">
        <f t="shared" si="0"/>
        <v>411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1487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454</v>
      </c>
      <c r="AJ12" s="229" t="str">
        <f>IF(ISNUMBER(Datos!BW12),Datos!BW12," - ")</f>
        <v xml:space="preserve"> - </v>
      </c>
      <c r="AK12" s="228" t="str">
        <f>IF(ISNUMBER(Datos!BX12),Datos!BX12," - ")</f>
        <v xml:space="preserve"> - </v>
      </c>
      <c r="AL12" s="243">
        <f>IF(ISNUMBER(NºAsuntos!G12/NºAsuntos!E12),NºAsuntos!G12/NºAsuntos!E12," - ")</f>
        <v>1.1881443298969072</v>
      </c>
      <c r="AM12" s="260">
        <f>IF(ISNUMBER(((NºAsuntos!I12/NºAsuntos!G12)*11)/factor_trimestre),((NºAsuntos!I12/NºAsuntos!G12)*11)/factor_trimestre," - ")</f>
        <v>5.0168112798264639</v>
      </c>
      <c r="AN12" s="244">
        <f>IF(ISNUMBER('Resol  Asuntos'!D12/NºAsuntos!G12),'Resol  Asuntos'!D12/NºAsuntos!G12," - ")</f>
        <v>0.24620390455531455</v>
      </c>
      <c r="AO12" s="245">
        <f>IF(ISNUMBER((NºAsuntos!C12+NºAsuntos!E12)/NºAsuntos!G12),(NºAsuntos!C12+NºAsuntos!E12)/NºAsuntos!G12," - ")</f>
        <v>1.4560737527114966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0</v>
      </c>
      <c r="G13" s="866">
        <f t="shared" si="3"/>
        <v>0</v>
      </c>
      <c r="H13" s="865">
        <f t="shared" si="3"/>
        <v>0</v>
      </c>
      <c r="I13" s="867">
        <f t="shared" si="3"/>
        <v>0</v>
      </c>
      <c r="J13" s="867">
        <f t="shared" si="3"/>
        <v>0</v>
      </c>
      <c r="K13" s="867">
        <f t="shared" si="3"/>
        <v>0</v>
      </c>
      <c r="L13" s="867">
        <f t="shared" si="3"/>
        <v>429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411</v>
      </c>
      <c r="Y13" s="868">
        <f t="shared" si="4"/>
        <v>415</v>
      </c>
      <c r="Z13" s="868">
        <f t="shared" si="4"/>
        <v>0</v>
      </c>
      <c r="AA13" s="868">
        <f t="shared" si="4"/>
        <v>4</v>
      </c>
      <c r="AB13" s="868">
        <f t="shared" si="4"/>
        <v>1492</v>
      </c>
      <c r="AC13" s="868">
        <f t="shared" si="4"/>
        <v>9</v>
      </c>
      <c r="AD13" s="868">
        <f t="shared" si="4"/>
        <v>0</v>
      </c>
      <c r="AE13" s="872">
        <f t="shared" si="4"/>
        <v>0</v>
      </c>
      <c r="AF13" s="865">
        <f t="shared" si="4"/>
        <v>0</v>
      </c>
      <c r="AG13" s="873">
        <f t="shared" si="4"/>
        <v>0</v>
      </c>
      <c r="AH13" s="870">
        <f t="shared" si="4"/>
        <v>0</v>
      </c>
      <c r="AI13" s="865">
        <f t="shared" si="4"/>
        <v>456</v>
      </c>
      <c r="AJ13" s="867">
        <f t="shared" si="4"/>
        <v>0</v>
      </c>
      <c r="AK13" s="870">
        <f>SUBTOTAL(9,AK9:AK12)</f>
        <v>0</v>
      </c>
      <c r="AL13" s="874">
        <f>IF(ISNUMBER(NºAsuntos!G13/NºAsuntos!E13),NºAsuntos!G13/NºAsuntos!E13," - ")</f>
        <v>1.1846153846153846</v>
      </c>
      <c r="AM13" s="874">
        <f>IF(ISNUMBER(((NºAsuntos!I13/NºAsuntos!G13)*11)/factor_trimestre),((NºAsuntos!I13/NºAsuntos!G13)*11)/factor_trimestre," - ")</f>
        <v>5.0297619047619051</v>
      </c>
      <c r="AN13" s="875">
        <f>IF(ISNUMBER('Resol  Asuntos'!D13/NºAsuntos!G13),'Resol  Asuntos'!D13/NºAsuntos!G13," - ")</f>
        <v>0.24675324675324675</v>
      </c>
      <c r="AO13" s="876">
        <f>IF(ISNUMBER((NºAsuntos!C13+NºAsuntos!E13)/NºAsuntos!G13),(NºAsuntos!C13+NºAsuntos!E13)/NºAsuntos!G13," - ")</f>
        <v>1.4572510822510822</v>
      </c>
      <c r="AP13" s="877" t="str">
        <f t="shared" si="2"/>
        <v xml:space="preserve"> - </v>
      </c>
      <c r="AQ13" s="877" t="str">
        <f>IF(ISNUMBER((H13-W13+K13)/(F13)),(H13-W13+K13)/(F13)," - ")</f>
        <v xml:space="preserve"> - </v>
      </c>
      <c r="AR13" s="878">
        <f>IF(ISNUMBER((Datos!P13-Datos!Q13)/(Datos!R13-Datos!P13+Datos!Q13)),(Datos!P13-Datos!Q13)/(Datos!R13-Datos!P13+Datos!Q13)," - ")</f>
        <v>1.2211668928086838E-2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499</v>
      </c>
      <c r="G16" s="333">
        <f>IF(ISNUMBER(IF(D_I="SI",Datos!I16,Datos!I16+Datos!AC16)),IF(D_I="SI",Datos!I16,Datos!I16+Datos!AC16)," - ")</f>
        <v>483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978</v>
      </c>
      <c r="X16" s="226">
        <f>IF(ISNUMBER(Datos!Q16),Datos!Q16," - ")</f>
        <v>56</v>
      </c>
      <c r="Y16" s="334">
        <f t="shared" ref="Y16:Y17" si="7">SUM(W16:X16)</f>
        <v>1034</v>
      </c>
      <c r="Z16" s="335" t="str">
        <f>IF(ISNUMBER(Datos!CC16),Datos!CC16," - ")</f>
        <v xml:space="preserve"> - </v>
      </c>
      <c r="AA16" s="332">
        <f>IF(ISNUMBER(IF(D_I="SI",Datos!L16,Datos!L16+Datos!AF16)),IF(D_I="SI",Datos!L16,Datos!L16+Datos!AF16)," - ")</f>
        <v>548</v>
      </c>
      <c r="AB16" s="334">
        <f>IF(ISNUMBER(Datos!R16),Datos!R16," - ")</f>
        <v>62</v>
      </c>
      <c r="AC16" s="334">
        <f t="shared" si="6"/>
        <v>610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150</v>
      </c>
      <c r="AJ16" s="231" t="str">
        <f>IF(ISNUMBER(Datos!BW16),Datos!BW16," - ")</f>
        <v xml:space="preserve"> - </v>
      </c>
      <c r="AK16" s="232" t="str">
        <f>IF(ISNUMBER(Datos!BX16),Datos!BX16," - ")</f>
        <v xml:space="preserve"> - </v>
      </c>
      <c r="AL16" s="243">
        <f>IF(ISNUMBER(NºAsuntos!G16/NºAsuntos!E16),NºAsuntos!G16/NºAsuntos!E16," - ")</f>
        <v>0.95228821811100295</v>
      </c>
      <c r="AM16" s="260">
        <f>IF(ISNUMBER(((NºAsuntos!I16/NºAsuntos!G16)*11)/factor_trimestre),((NºAsuntos!I16/NºAsuntos!G16)*11)/factor_trimestre," - ")</f>
        <v>6.1635991820040896</v>
      </c>
      <c r="AN16" s="244">
        <f>IF(ISNUMBER('Resol  Asuntos'!D16/NºAsuntos!G16),'Resol  Asuntos'!D16/NºAsuntos!G16," - ")</f>
        <v>0.15337423312883436</v>
      </c>
      <c r="AO16" s="245">
        <f>IF(ISNUMBER((NºAsuntos!C16+NºAsuntos!E16)/NºAsuntos!G16),(NºAsuntos!C16+NºAsuntos!E16)/NºAsuntos!G16," - ")</f>
        <v>1.5439672801635991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91</v>
      </c>
      <c r="X17" s="226">
        <f>IF(ISNUMBER(Datos!Q17),Datos!Q17," - ")</f>
        <v>1</v>
      </c>
      <c r="Y17" s="334">
        <f t="shared" si="7"/>
        <v>92</v>
      </c>
      <c r="Z17" s="335" t="str">
        <f>IF(ISNUMBER(Datos!CC17),Datos!CC17," - ")</f>
        <v xml:space="preserve"> - </v>
      </c>
      <c r="AA17" s="332">
        <f>IF(ISNUMBER(Datos!L17),Datos!L17,"-")</f>
        <v>37</v>
      </c>
      <c r="AB17" s="334">
        <f>IF(ISNUMBER(Datos!R17),Datos!R17," - ")</f>
        <v>0</v>
      </c>
      <c r="AC17" s="334">
        <f t="shared" si="6"/>
        <v>37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v>
      </c>
      <c r="AJ17" s="231" t="str">
        <f>IF(ISNUMBER(Datos!BW17),Datos!BW17," - ")</f>
        <v xml:space="preserve"> - </v>
      </c>
      <c r="AK17" s="232" t="str">
        <f>IF(ISNUMBER(Datos!BX17),Datos!BX17," - ")</f>
        <v xml:space="preserve"> - </v>
      </c>
      <c r="AL17" s="243">
        <f>IF(ISNUMBER(NºAsuntos!G17/NºAsuntos!E17),NºAsuntos!G17/NºAsuntos!E17," - ")</f>
        <v>1.1375</v>
      </c>
      <c r="AM17" s="260">
        <f>IF(ISNUMBER(((NºAsuntos!I17/NºAsuntos!G17)*11)/factor_trimestre),((NºAsuntos!I17/NºAsuntos!G17)*11)/factor_trimestre," - ")</f>
        <v>4.4725274725274726</v>
      </c>
      <c r="AN17" s="244">
        <f>IF(ISNUMBER('Resol  Asuntos'!D17/NºAsuntos!G17),'Resol  Asuntos'!D17/NºAsuntos!G17," - ")</f>
        <v>0.12087912087912088</v>
      </c>
      <c r="AO17" s="245">
        <f>IF(ISNUMBER((NºAsuntos!C17+NºAsuntos!E17)/NºAsuntos!G17),(NºAsuntos!C17+NºAsuntos!E17)/NºAsuntos!G17," - ")</f>
        <v>1.4065934065934067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499</v>
      </c>
      <c r="G18" s="866">
        <f>SUBTOTAL(9,G15:G17)</f>
        <v>531</v>
      </c>
      <c r="H18" s="865">
        <f t="shared" ref="H18:O18" si="10">SUBTOTAL(9,H14:H17)</f>
        <v>0</v>
      </c>
      <c r="I18" s="867">
        <f t="shared" si="10"/>
        <v>0</v>
      </c>
      <c r="J18" s="867">
        <f t="shared" si="10"/>
        <v>0</v>
      </c>
      <c r="K18" s="867">
        <f t="shared" si="10"/>
        <v>0</v>
      </c>
      <c r="L18" s="867">
        <f t="shared" si="10"/>
        <v>33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1069</v>
      </c>
      <c r="X18" s="867">
        <f t="shared" si="11"/>
        <v>57</v>
      </c>
      <c r="Y18" s="868">
        <f t="shared" si="11"/>
        <v>1126</v>
      </c>
      <c r="Z18" s="868">
        <f t="shared" si="11"/>
        <v>0</v>
      </c>
      <c r="AA18" s="868">
        <f t="shared" si="11"/>
        <v>585</v>
      </c>
      <c r="AB18" s="868">
        <f t="shared" si="11"/>
        <v>62</v>
      </c>
      <c r="AC18" s="868">
        <f t="shared" si="11"/>
        <v>647</v>
      </c>
      <c r="AD18" s="868">
        <f t="shared" si="11"/>
        <v>0</v>
      </c>
      <c r="AE18" s="872">
        <f t="shared" si="11"/>
        <v>0</v>
      </c>
      <c r="AF18" s="865">
        <f t="shared" si="11"/>
        <v>0</v>
      </c>
      <c r="AG18" s="873">
        <f t="shared" si="11"/>
        <v>0</v>
      </c>
      <c r="AH18" s="870">
        <f t="shared" si="11"/>
        <v>0</v>
      </c>
      <c r="AI18" s="865">
        <f t="shared" si="11"/>
        <v>161</v>
      </c>
      <c r="AJ18" s="867">
        <f t="shared" si="11"/>
        <v>0</v>
      </c>
      <c r="AK18" s="870">
        <f t="shared" si="11"/>
        <v>0</v>
      </c>
      <c r="AL18" s="874">
        <f>IF(ISNUMBER(NºAsuntos!G18/NºAsuntos!E18),NºAsuntos!G18/NºAsuntos!E18," - ")</f>
        <v>0.96567299006323393</v>
      </c>
      <c r="AM18" s="874">
        <f>IF(ISNUMBER(((NºAsuntos!I18/NºAsuntos!G18)*11)/factor_trimestre),((NºAsuntos!I18/NºAsuntos!G18)*11)/factor_trimestre," - ")</f>
        <v>6.0196445275958839</v>
      </c>
      <c r="AN18" s="875">
        <f>IF(ISNUMBER('Resol  Asuntos'!D18/NºAsuntos!G18),'Resol  Asuntos'!D18/NºAsuntos!G18," - ")</f>
        <v>0.15060804490177737</v>
      </c>
      <c r="AO18" s="876">
        <f>IF(ISNUMBER((NºAsuntos!C18+NºAsuntos!E18)/NºAsuntos!G18),(NºAsuntos!C18+NºAsuntos!E18)/NºAsuntos!G18," - ")</f>
        <v>1.5322731524789523</v>
      </c>
      <c r="AP18" s="877" t="str">
        <f t="shared" si="2"/>
        <v xml:space="preserve"> - </v>
      </c>
      <c r="AQ18" s="877">
        <f>IF(ISNUMBER((H18-W18+K18)/(F18)),(H18-W18+K18)/(F18)," - ")</f>
        <v>-2.1422845691382766</v>
      </c>
      <c r="AR18" s="878">
        <f>IF(ISNUMBER((Datos!P18-Datos!Q18)/(Datos!R18-Datos!P18+Datos!Q18)),(Datos!P18-Datos!Q18)/(Datos!R18-Datos!P18+Datos!Q18)," - ")</f>
        <v>-0.27906976744186046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499</v>
      </c>
      <c r="G19" s="821">
        <f t="shared" si="13"/>
        <v>531</v>
      </c>
      <c r="H19" s="820">
        <f t="shared" si="13"/>
        <v>0</v>
      </c>
      <c r="I19" s="822">
        <f t="shared" si="13"/>
        <v>0</v>
      </c>
      <c r="J19" s="822">
        <f t="shared" si="13"/>
        <v>0</v>
      </c>
      <c r="K19" s="881">
        <f t="shared" si="13"/>
        <v>0</v>
      </c>
      <c r="L19" s="822">
        <f t="shared" si="13"/>
        <v>462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1073</v>
      </c>
      <c r="X19" s="821">
        <f t="shared" si="14"/>
        <v>468</v>
      </c>
      <c r="Y19" s="828">
        <f t="shared" si="14"/>
        <v>1541</v>
      </c>
      <c r="Z19" s="828">
        <f t="shared" si="14"/>
        <v>0</v>
      </c>
      <c r="AA19" s="828">
        <f t="shared" si="14"/>
        <v>589</v>
      </c>
      <c r="AB19" s="828">
        <f t="shared" si="14"/>
        <v>1554</v>
      </c>
      <c r="AC19" s="828">
        <f t="shared" si="14"/>
        <v>656</v>
      </c>
      <c r="AD19" s="828">
        <f t="shared" si="14"/>
        <v>0</v>
      </c>
      <c r="AE19" s="830">
        <f t="shared" si="14"/>
        <v>0</v>
      </c>
      <c r="AF19" s="831">
        <f t="shared" si="14"/>
        <v>0</v>
      </c>
      <c r="AG19" s="832">
        <f t="shared" si="14"/>
        <v>0</v>
      </c>
      <c r="AH19" s="830">
        <f t="shared" si="14"/>
        <v>0</v>
      </c>
      <c r="AI19" s="820">
        <f t="shared" si="14"/>
        <v>617</v>
      </c>
      <c r="AJ19" s="820">
        <f t="shared" si="14"/>
        <v>0</v>
      </c>
      <c r="AK19" s="830">
        <f t="shared" si="14"/>
        <v>0</v>
      </c>
      <c r="AL19" s="884">
        <f>IF(ISNUMBER(NºAsuntos!G19/NºAsuntos!E19),NºAsuntos!G19/NºAsuntos!E19," - ")</f>
        <v>1.0937382827146607</v>
      </c>
      <c r="AM19" s="885">
        <f>IF(ISNUMBER(((NºAsuntos!I19/NºAsuntos!G19)*11)/factor_trimestre),((NºAsuntos!I19/NºAsuntos!G19)*11)/factor_trimestre," - ")</f>
        <v>5.3925265683921841</v>
      </c>
      <c r="AN19" s="885">
        <f>IF(ISNUMBER('Resol  Asuntos'!D19/NºAsuntos!G19),'Resol  Asuntos'!D19/NºAsuntos!G19," - ")</f>
        <v>0.21151868357901954</v>
      </c>
      <c r="AO19" s="886">
        <f>IF(ISNUMBER((NºAsuntos!C19+NºAsuntos!E19)/NºAsuntos!G19),(NºAsuntos!C19+NºAsuntos!E19)/NºAsuntos!G19," - ")</f>
        <v>1.4847446006170724</v>
      </c>
      <c r="AP19" s="887" t="str">
        <f t="shared" si="2"/>
        <v xml:space="preserve"> - </v>
      </c>
      <c r="AQ19" s="888">
        <f>IF(OR(ISNUMBER(FIND("01",Criterios!A8,1)),ISNUMBER(FIND("02",Criterios!A8,1)),ISNUMBER(FIND("03",Criterios!A8,1)),ISNUMBER(FIND("04",Criterios!A8,1))),(I19-W19+K19)/(F19-K19),(H19-W19+K19)/(F19-K19))</f>
        <v>-2.1503006012024048</v>
      </c>
      <c r="AR19" s="889">
        <f>IF(ISNUMBER((Datos!P19-Datos!Q19)/(Datos!R19-Datos!P19+Datos!Q19)),(Datos!P19-Datos!Q19)/(Datos!R19-Datos!P19+Datos!Q19)," - ")</f>
        <v>-3.8461538461538464E-3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212.4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288.09778432562325</v>
      </c>
      <c r="G21" s="253">
        <f>IF(ISNUMBER(STDEV(G8:G18)),STDEV(G8:G18),"-")</f>
        <v>270.17827447816745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544.6317104245768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204.3552462420935</v>
      </c>
      <c r="AJ21" s="252">
        <f t="shared" si="18"/>
        <v>0</v>
      </c>
      <c r="AK21" s="254">
        <f t="shared" si="18"/>
        <v>0</v>
      </c>
      <c r="AL21" s="249">
        <f t="shared" si="18"/>
        <v>0.26114495241580676</v>
      </c>
      <c r="AM21" s="250">
        <f t="shared" si="18"/>
        <v>2.3993894592491505</v>
      </c>
      <c r="AN21" s="250">
        <f t="shared" si="18"/>
        <v>0.13948965621330958</v>
      </c>
      <c r="AO21" s="251">
        <f t="shared" si="18"/>
        <v>0.21876905894885468</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lOdO4QYUneh93jP1u9WYR8yMvrO4B2MvN+LgoMX/COF0gdR4/9ski2m+sXYJwnYkExqAFQibFcEEXFo2bJxqgQ==" saltValue="JrN0oMegCt0cepKdwmWv3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LA RIOJA</v>
      </c>
      <c r="E2" s="263"/>
    </row>
    <row r="3" spans="2:20" ht="17.25" customHeight="1">
      <c r="C3" s="267"/>
      <c r="D3" s="262" t="str">
        <f>Criterios!A10 &amp;"  "&amp;Criterios!B10</f>
        <v>Provincias  LA RIOJA</v>
      </c>
      <c r="E3" s="263"/>
    </row>
    <row r="4" spans="2:20" ht="17.25" customHeight="1" thickBot="1">
      <c r="D4" s="262" t="str">
        <f>Criterios!A11 &amp;"  "&amp;Criterios!B11</f>
        <v>Resumenes por Partidos Judiciales  HARO</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0.86065573770491799</v>
      </c>
      <c r="I12" s="350">
        <f>IF(ISNUMBER((Tasas!C12-Datos!BE12)/Datos!BE12),(Tasas!C12-Datos!BE12)/Datos!BE12," - ")</f>
        <v>-0.58136213343340104</v>
      </c>
      <c r="J12" s="349">
        <f>IF(ISNUMBER((Tasas!D12-Datos!BF12)/Datos!BF12),(Tasas!D12-Datos!BF12)/Datos!BF12," - ")</f>
        <v>-0.24911419138555094</v>
      </c>
      <c r="K12" s="351">
        <f>IF(ISNUMBER((Tasas!E12-Datos!BG12)/Datos!BG12),(Tasas!E12-Datos!BG12)/Datos!BG12," - ")</f>
        <v>-0.30312162778649032</v>
      </c>
      <c r="M12" t="e">
        <f>IF(Monitorios="SI",Datos!CE12,0)</f>
        <v>#REF!</v>
      </c>
      <c r="N12" t="e">
        <f>IF(Monitorios="SI",Datos!CF12,0)</f>
        <v>#REF!</v>
      </c>
      <c r="O12" t="e">
        <f>IF(Monitorios="SI",Datos!CG12,0)</f>
        <v>#REF!</v>
      </c>
      <c r="P12" t="e">
        <f>IF(Monitorios="SI",Datos!CH12,0)</f>
        <v>#REF!</v>
      </c>
      <c r="Q12">
        <f>IF(J_V="SI",0,Datos!AG12)</f>
        <v>49</v>
      </c>
      <c r="R12">
        <f>IF(J_V="SI",0,Datos!AH12)</f>
        <v>105</v>
      </c>
      <c r="S12">
        <f>IF(J_V="SI",0,Datos!AI12)</f>
        <v>129</v>
      </c>
      <c r="T12">
        <f>IF(J_V="SI",0,Datos!AJ12)</f>
        <v>25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0.86885245901639341</v>
      </c>
      <c r="I13" s="357">
        <f>IF(ISNUMBER((Tasas!C13-Datos!BE13)/Datos!BE13),(Tasas!C13-Datos!BE13)/Datos!BE13," - ")</f>
        <v>-0.58028144259388736</v>
      </c>
      <c r="J13" s="355">
        <f>IF(ISNUMBER((Tasas!D13-Datos!BF13)/Datos!BF13),(Tasas!D13-Datos!BF13)/Datos!BF13," - ")</f>
        <v>-0.24743877823056709</v>
      </c>
      <c r="K13" s="358">
        <f>IF(ISNUMBER((Tasas!E13-Datos!BG13)/Datos!BG13),(Tasas!E13-Datos!BG13)/Datos!BG13," - ")</f>
        <v>-0.30255815667688651</v>
      </c>
      <c r="M13" t="e">
        <f>IF(Monitorios="SI",Datos!CE13,0)</f>
        <v>#REF!</v>
      </c>
      <c r="N13" t="e">
        <f>IF(Monitorios="SI",Datos!CF13,0)</f>
        <v>#REF!</v>
      </c>
      <c r="O13" t="e">
        <f>IF(Monitorios="SI",Datos!CG13,0)</f>
        <v>#REF!</v>
      </c>
      <c r="P13" t="e">
        <f>IF(Monitorios="SI",Datos!CH13,0)</f>
        <v>#REF!</v>
      </c>
      <c r="Q13">
        <f>IF(J_V="SI",0,Datos!AG13)</f>
        <v>49</v>
      </c>
      <c r="R13">
        <f>IF(J_V="SI",0,Datos!AH13)</f>
        <v>105</v>
      </c>
      <c r="S13">
        <f>IF(J_V="SI",0,Datos!AI13)</f>
        <v>129</v>
      </c>
      <c r="T13">
        <f>IF(J_V="SI",0,Datos!AJ13)</f>
        <v>25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0.24806201550387597</v>
      </c>
      <c r="E16" s="348">
        <f>IF(ISNUMBER(
   IF(D_I="SI",(Datos!J16-Datos!T16)/Datos!T16,(Datos!J16+Datos!AD16-(Datos!T16+Datos!AL16))/(Datos!T16+Datos!AL16))
     ),IF(D_I="SI",(Datos!J16-Datos!T16)/Datos!T16,(Datos!J16+Datos!AD16-(Datos!T16+Datos!AL16))/(Datos!T16+Datos!AL16))," - ")</f>
        <v>-1.8164435946462717E-2</v>
      </c>
      <c r="F16" s="348">
        <f>IF(ISNUMBER(
   IF(D_I="SI",(Datos!K16-Datos!U16)/Datos!U16,(Datos!K16+Datos!AE16-(Datos!U16+Datos!AM16))/(Datos!U16+Datos!AM16))
     ),IF(D_I="SI",(Datos!K16-Datos!U16)/Datos!U16,(Datos!K16+Datos!AE16-(Datos!U16+Datos!AM16))/(Datos!U16+Datos!AM16))," - ")</f>
        <v>2.3012552301255231E-2</v>
      </c>
      <c r="G16" s="349">
        <f>IF(ISNUMBER(
   IF(D_I="SI",(Datos!L16-Datos!V16)/Datos!V16,(Datos!L16+Datos!AF16-(Datos!V16+Datos!AN16))/(Datos!V16+Datos!AN16))
     ),IF(D_I="SI",(Datos!L16-Datos!V16)/Datos!V16,(Datos!L16+Datos!AF16-(Datos!V16+Datos!AN16))/(Datos!V16+Datos!AN16))," - ")</f>
        <v>0.13457556935817805</v>
      </c>
      <c r="H16" s="230">
        <f>IF(ISNUMBER((Datos!M16-Datos!W16)/Datos!W16),(Datos!M16-Datos!W16)/Datos!W16," - ")</f>
        <v>-4.4585987261146494E-2</v>
      </c>
      <c r="I16" s="350">
        <f>IF(ISNUMBER((Tasas!C16-Datos!BE16)/Datos!BE16),(Tasas!C16-Datos!BE16)/Datos!BE16," - ")</f>
        <v>0.10905341953621472</v>
      </c>
      <c r="J16" s="349">
        <f>IF(ISNUMBER((Tasas!D16-Datos!BF16)/Datos!BF16),(Tasas!D16-Datos!BF16)/Datos!BF16," - ")</f>
        <v>-6.6077918018053197E-2</v>
      </c>
      <c r="K16" s="351">
        <f>IF(ISNUMBER((Tasas!E16-Datos!BG16)/Datos!BG16),(Tasas!E16-Datos!BG16)/Datos!BG16," - ")</f>
        <v>3.0029811469923732E-2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0.23076923076923078</v>
      </c>
      <c r="E17" s="348">
        <f>IF(ISNUMBER(
   IF(D_I="SI",(Datos!J17-Datos!T17)/Datos!T17,(Datos!J17+Datos!AD17-(Datos!T17+Datos!AL17))/(Datos!T17+Datos!AL17))
     ),IF(D_I="SI",(Datos!J17-Datos!T17)/Datos!T17,(Datos!J17+Datos!AD17-(Datos!T17+Datos!AL17))/(Datos!T17+Datos!AL17))," - ")</f>
        <v>2.564102564102564E-2</v>
      </c>
      <c r="F17" s="348">
        <f>IF(ISNUMBER(
   IF(D_I="SI",(Datos!K17-Datos!U17)/Datos!U17,(Datos!K17+Datos!AE17-(Datos!U17+Datos!AM17))/(Datos!U17+Datos!AM17))
     ),IF(D_I="SI",(Datos!K17-Datos!U17)/Datos!U17,(Datos!K17+Datos!AE17-(Datos!U17+Datos!AM17))/(Datos!U17+Datos!AM17))," - ")</f>
        <v>0.3188405797101449</v>
      </c>
      <c r="G17" s="349">
        <f>IF(ISNUMBER(
   IF(D_I="SI",(Datos!L17-Datos!V17)/Datos!V17,(Datos!L17+Datos!AF17-(Datos!V17+Datos!AN17))/(Datos!V17+Datos!AN17))
     ),IF(D_I="SI",(Datos!L17-Datos!V17)/Datos!V17,(Datos!L17+Datos!AF17-(Datos!V17+Datos!AN17))/(Datos!V17+Datos!AN17))," - ")</f>
        <v>-0.22916666666666666</v>
      </c>
      <c r="H17" s="230">
        <f>IF(ISNUMBER((Datos!M17-Datos!W17)/Datos!W17),(Datos!M17-Datos!W17)/Datos!W17," - ")</f>
        <v>-0.15384615384615385</v>
      </c>
      <c r="I17" s="350">
        <f>IF(ISNUMBER((Tasas!C17-Datos!BE17)/Datos!BE17),(Tasas!C17-Datos!BE17)/Datos!BE17," - ")</f>
        <v>-0.41552197802197799</v>
      </c>
      <c r="J17" s="349">
        <f>IF(ISNUMBER((Tasas!D17-Datos!BF17)/Datos!BF17),(Tasas!D17-Datos!BF17)/Datos!BF17," - ")</f>
        <v>-0.35841081994928148</v>
      </c>
      <c r="K17" s="351">
        <f>IF(ISNUMBER((Tasas!E17-Datos!BG17)/Datos!BG17),(Tasas!E17-Datos!BG17)/Datos!BG17," - ")</f>
        <v>-0.17047055508593964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0.24647887323943662</v>
      </c>
      <c r="E18" s="354">
        <f>IF(ISNUMBER(
   IF(D_I="SI",(Datos!J18-Datos!T18)/Datos!T18,(Datos!J18+Datos!AD18-(Datos!T18+Datos!AL18))/(Datos!T18+Datos!AL18))
     ),IF(D_I="SI",(Datos!J18-Datos!T18)/Datos!T18,(Datos!J18+Datos!AD18-(Datos!T18+Datos!AL18))/(Datos!T18+Datos!AL18))," - ")</f>
        <v>-1.5124555160142349E-2</v>
      </c>
      <c r="F18" s="354">
        <f>IF(ISNUMBER(
   IF(D_I="SI",(Datos!K18-Datos!U18)/Datos!U18,(Datos!K18+Datos!AE18-(Datos!U18+Datos!AM18))/(Datos!U18+Datos!AM18))
     ),IF(D_I="SI",(Datos!K18-Datos!U18)/Datos!U18,(Datos!K18+Datos!AE18-(Datos!U18+Datos!AM18))/(Datos!U18+Datos!AM18))," - ")</f>
        <v>4.2926829268292686E-2</v>
      </c>
      <c r="G18" s="355">
        <f>IF(ISNUMBER(
   IF(D_I="SI",(Datos!L18-Datos!V18)/Datos!V18,(Datos!L18+Datos!AF18-(Datos!V18+Datos!AN18))/(Datos!V18+Datos!AN18))
     ),IF(D_I="SI",(Datos!L18-Datos!V18)/Datos!V18,(Datos!L18+Datos!AF18-(Datos!V18+Datos!AN18))/(Datos!V18+Datos!AN18))," - ")</f>
        <v>0.10169491525423729</v>
      </c>
      <c r="H18" s="356">
        <f>IF(ISNUMBER((Datos!M18-Datos!W18)/Datos!W18),(Datos!M18-Datos!W18)/Datos!W18," - ")</f>
        <v>-5.2941176470588235E-2</v>
      </c>
      <c r="I18" s="357">
        <f>IF(ISNUMBER((Tasas!C18-Datos!BE18)/Datos!BE18),(Tasas!C18-Datos!BE18)/Datos!BE18," - ")</f>
        <v>5.6349193765755937E-2</v>
      </c>
      <c r="J18" s="355">
        <f>IF(ISNUMBER((Tasas!D18-Datos!BF18)/Datos!BF18),(Tasas!D18-Datos!BF18)/Datos!BF18," - ")</f>
        <v>-9.1922082209871775E-2</v>
      </c>
      <c r="K18" s="358">
        <f>IF(ISNUMBER((Tasas!E18-Datos!BG18)/Datos!BG18),(Tasas!E18-Datos!BG18)/Datos!BG18," - ")</f>
        <v>1.3277407284468482E-2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0.2839506172839506</v>
      </c>
      <c r="E19" s="363">
        <f>IF(ISNUMBER(
   IF(J_V="SI",(Datos!J19-Datos!T19)/Datos!T19,(Datos!J19+Datos!Z19-(Datos!T19+Datos!AH19))/(Datos!T19+Datos!AH19))
     ),IF(J_V="SI",(Datos!J19-Datos!T19)/Datos!T19,(Datos!J19+Datos!Z19-(Datos!T19+Datos!AH19))/(Datos!T19+Datos!AH19))," - ")</f>
        <v>9.8887515451174288E-2</v>
      </c>
      <c r="F19" s="363">
        <f>IF(ISNUMBER(
   IF(J_V="SI",(Datos!K19-Datos!U19)/Datos!U19,(Datos!K19+Datos!AA19-(Datos!U19+Datos!AI19))/(Datos!U19+Datos!AI19))
     ),IF(J_V="SI",(Datos!K19-Datos!U19)/Datos!U19,(Datos!K19+Datos!AA19-(Datos!U19+Datos!AI19))/(Datos!U19+Datos!AI19))," - ")</f>
        <v>0.412590799031477</v>
      </c>
      <c r="G19" s="364">
        <f>IF(ISNUMBER(
   IF(J_V="SI",(Datos!L19-Datos!V19)/Datos!V19,(Datos!L19+Datos!AB19-(Datos!V19+Datos!AJ19))/(Datos!V19+Datos!AJ19))
     ),IF(J_V="SI",(Datos!L19-Datos!V19)/Datos!V19,(Datos!L19+Datos!AB19-(Datos!V19+Datos!AJ19))/(Datos!V19+Datos!AJ19))," - ")</f>
        <v>-0.140625</v>
      </c>
      <c r="H19" s="365">
        <f>IF(ISNUMBER((Datos!M19-Datos!W19)/Datos!W19),(Datos!M19-Datos!W19)/Datos!W19," - ")</f>
        <v>0.49033816425120774</v>
      </c>
      <c r="I19" s="362">
        <f>IF(ISNUMBER((Tasas!C19-Datos!BE19)/Datos!BE19),(Tasas!C19-Datos!BE19)/Datos!BE19," - ")</f>
        <v>-0.39163202776825506</v>
      </c>
      <c r="J19" s="363">
        <f>IF(ISNUMBER((Tasas!D19-Datos!BF19)/Datos!BF19),(Tasas!D19-Datos!BF19)/Datos!BF19," - ")</f>
        <v>-0.1452327170436882</v>
      </c>
      <c r="K19" s="364">
        <f>IF(ISNUMBER((Tasas!E19-Datos!BG19)/Datos!BG19),(Tasas!E19-Datos!BG19)/Datos!BG19," - ")</f>
        <v>-0.17647123280304744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9.5598083126696518E-3</v>
      </c>
      <c r="E21" s="278">
        <f t="shared" si="1"/>
        <v>2.4460825545296279E-2</v>
      </c>
      <c r="F21" s="278">
        <f t="shared" si="1"/>
        <v>0.1653477133753006</v>
      </c>
      <c r="G21" s="279">
        <f t="shared" si="1"/>
        <v>0.20118769763327141</v>
      </c>
      <c r="H21" s="285">
        <f t="shared" si="1"/>
        <v>0.52132419560062571</v>
      </c>
      <c r="I21" s="277">
        <f t="shared" si="1"/>
        <v>0.34052164277967617</v>
      </c>
      <c r="J21" s="278">
        <f t="shared" si="1"/>
        <v>0.12179796564345502</v>
      </c>
      <c r="K21" s="279">
        <f t="shared" si="1"/>
        <v>0.16290383722980822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LozwhAvAW1b4qgMh5s5b/MugnFtU9gkL7Y5u5kAaCoSrtrsBzdfwRLhE+F6qlkdDIGmBFdnhVzXMXdlWkPmFw==" saltValue="BnHLlcgQeLd0AE6UNzV4o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LA RIOJA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8</v>
      </c>
      <c r="F10" s="226">
        <f>IF(ISNUMBER(Datos!K10),Datos!K10," - ")</f>
        <v>4</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t="str">
        <f t="shared" ref="K10:K12" si="1">IF(ISNUMBER((E10-F10)/C10),(E10-F10)/C10," - ")</f>
        <v xml:space="preserve"> - </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5.0168112798264639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8</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499</v>
      </c>
      <c r="D16" s="225">
        <f>IF(ISNUMBER(IF(D_I="SI",Datos!I16,Datos!I16+Datos!AC16)),IF(D_I="SI",Datos!I16,Datos!I16+Datos!AC16)," - ")</f>
        <v>483</v>
      </c>
      <c r="E16" s="226">
        <f>IF(ISNUMBER(IF(D_I="SI",Datos!J16,Datos!J16+Datos!AD16)),IF(D_I="SI",Datos!J16,Datos!J16+Datos!AD16)," - ")</f>
        <v>1027</v>
      </c>
      <c r="F16" s="226">
        <f>IF(ISNUMBER(IF(D_I="SI",Datos!K16,Datos!K16+Datos!AE16)),IF(D_I="SI",Datos!K16,Datos!K16+Datos!AE16)," - ")</f>
        <v>978</v>
      </c>
      <c r="G16" s="1034" t="str">
        <f>IF(Datos!E16&lt;&gt;"",Datos!E16,Datos!D16)</f>
        <v>04</v>
      </c>
      <c r="H16" s="227">
        <f>IF(ISNUMBER(IF(D_I="SI",Datos!L16,Datos!L16+Datos!AF16)),IF(D_I="SI",Datos!L16,Datos!L16+Datos!AF16)," - ")</f>
        <v>548</v>
      </c>
      <c r="I16" s="1044" t="str">
        <f>IF(ISNUMBER(Datos!AS16/Datos!BM16),Datos!AS16/Datos!BM16," - ")</f>
        <v xml:space="preserve"> - </v>
      </c>
      <c r="J16" s="1045">
        <f>IF(ISNUMBER(Datos!BY16/Datos!CN16),Datos!BY16/Datos!CN16," - ")</f>
        <v>0</v>
      </c>
      <c r="K16" s="230">
        <f t="shared" si="3"/>
        <v>9.8196392785571143E-2</v>
      </c>
      <c r="L16" s="1025">
        <f>IF(ISNUMBER(NºAsuntos!I16/NºAsuntos!G16),(NºAsuntos!I16/NºAsuntos!G16)*11," - ")</f>
        <v>6.1635991820040896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48</v>
      </c>
      <c r="D17" s="225">
        <f>IF(ISNUMBER(IF(D_I="SI",Datos!I17,Datos!I17+Datos!AC17)),IF(D_I="SI",Datos!I17,Datos!I17+Datos!AC17)," - ")</f>
        <v>48</v>
      </c>
      <c r="E17" s="226">
        <f>IF(ISNUMBER(IF(D_I="SI",Datos!J17,Datos!J17+Datos!AD17)),IF(D_I="SI",Datos!J17,Datos!J17+Datos!AD17)," - ")</f>
        <v>80</v>
      </c>
      <c r="F17" s="226">
        <f>IF(ISNUMBER(IF(D_I="SI",Datos!K17,Datos!K17+Datos!AE17)),IF(D_I="SI",Datos!K17,Datos!K17+Datos!AE17)," - ")</f>
        <v>91</v>
      </c>
      <c r="G17" s="1034" t="str">
        <f>IF(Datos!E17&lt;&gt;"",Datos!E17,Datos!D17)</f>
        <v>37</v>
      </c>
      <c r="H17" s="227">
        <f>IF(ISNUMBER(IF(D_I="SI",Datos!L17,Datos!L17+Datos!AF17)),IF(D_I="SI",Datos!L17,Datos!L17+Datos!AF17)," - ")</f>
        <v>37</v>
      </c>
      <c r="I17" s="1044" t="str">
        <f>IF(ISNUMBER(Datos!AS17/Datos!BM17),Datos!AS17/Datos!BM17," - ")</f>
        <v xml:space="preserve"> - </v>
      </c>
      <c r="J17" s="1045" t="str">
        <f>IF(ISNUMBER((Datos!BY17+Datos!BZ17)/Datos!CN17),(Datos!BY17+Datos!BZ17)/Datos!CN17," - ")</f>
        <v xml:space="preserve"> - </v>
      </c>
      <c r="K17" s="230">
        <f t="shared" si="3"/>
        <v>-0.22916666666666666</v>
      </c>
      <c r="L17" s="1025">
        <f>IF(ISNUMBER(NºAsuntos!I17/NºAsuntos!G17),(NºAsuntos!I17/NºAsuntos!G17)*11," - ")</f>
        <v>4.4725274725274726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547</v>
      </c>
      <c r="D18" s="1049">
        <f>SUBTOTAL(9,D15:D17)</f>
        <v>531</v>
      </c>
      <c r="E18" s="1050">
        <f>SUBTOTAL(9,E15:E17)</f>
        <v>1107</v>
      </c>
      <c r="F18" s="1050">
        <f>SUBTOTAL(9,F15:F17)</f>
        <v>1069</v>
      </c>
      <c r="G18" s="1052" t="str">
        <f ca="1">INDIRECT(CONCATENATE("G",ROW()-1))</f>
        <v>37</v>
      </c>
      <c r="H18" s="1053">
        <f ca="1">SUMIF(G$14:G17,G18,H$14:H17)</f>
        <v>37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547</v>
      </c>
      <c r="D19" s="1071">
        <f>SUBTOTAL(9,D9:D18)</f>
        <v>531</v>
      </c>
      <c r="E19" s="1072">
        <f>SUBTOTAL(9,E9:E18)</f>
        <v>1115</v>
      </c>
      <c r="F19" s="1072">
        <f>SUBTOTAL(9,F9:F18)</f>
        <v>1073</v>
      </c>
      <c r="G19" s="1073"/>
      <c r="H19" s="1074">
        <f ca="1">SUMIF(B9:B18,"TOTAL",H9:H18)</f>
        <v>37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A5Vi8jAlKfLFmpzv4c2/+a6RASDGQPEfu1XgbfPlDcucWUXSjxg1K6Px87ihSR+VFnlVlxZIFXSX/hxkssvIg==" saltValue="mq2dr2iBtXGWfUrxIx6Cd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txJirTsb2vcLQdFqzSreRMRDr3Me/Y/3rYcl3TX8kTHkbGwz5zbi/EaHmTyvzhbvxsL21jVsRWuaij8PAVwRiQ==" saltValue="9yo/p5fkSGnbZq5TC9yi7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LA RIOJA</v>
      </c>
    </row>
    <row r="4" spans="1:156" ht="13.5" thickBot="1">
      <c r="A4" t="str">
        <f>Criterios!A10</f>
        <v>Provincias</v>
      </c>
      <c r="B4" t="str">
        <f>Criterios!B10</f>
        <v>LA RIOJA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8</v>
      </c>
      <c r="K10" s="181">
        <v>4</v>
      </c>
      <c r="L10" s="181">
        <v>4</v>
      </c>
      <c r="M10" s="181">
        <v>2</v>
      </c>
      <c r="N10" s="181">
        <v>1</v>
      </c>
      <c r="O10" s="181">
        <v>0</v>
      </c>
      <c r="P10" s="181">
        <v>5</v>
      </c>
      <c r="Q10" s="181">
        <v>0</v>
      </c>
      <c r="R10" s="181">
        <v>5</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1108</v>
      </c>
      <c r="J12" s="183">
        <v>1431</v>
      </c>
      <c r="K12" s="183">
        <v>1721</v>
      </c>
      <c r="L12" s="183">
        <v>818</v>
      </c>
      <c r="M12" s="183">
        <v>454</v>
      </c>
      <c r="N12" s="183">
        <v>763</v>
      </c>
      <c r="O12" s="181">
        <v>753</v>
      </c>
      <c r="P12" s="183">
        <v>424</v>
      </c>
      <c r="Q12" s="183">
        <v>411</v>
      </c>
      <c r="R12" s="183">
        <v>1487</v>
      </c>
      <c r="S12" s="183">
        <v>821</v>
      </c>
      <c r="T12" s="183">
        <v>1198</v>
      </c>
      <c r="U12" s="183">
        <v>911</v>
      </c>
      <c r="V12" s="183">
        <v>1108</v>
      </c>
      <c r="W12" s="183">
        <v>244</v>
      </c>
      <c r="X12" s="189">
        <v>341</v>
      </c>
      <c r="Y12" s="191">
        <v>25</v>
      </c>
      <c r="Z12" s="181">
        <v>121</v>
      </c>
      <c r="AA12" s="181">
        <v>123</v>
      </c>
      <c r="AB12" s="181">
        <v>23</v>
      </c>
      <c r="AC12" s="183">
        <v>0</v>
      </c>
      <c r="AD12" s="183">
        <v>0</v>
      </c>
      <c r="AE12" s="183">
        <v>0</v>
      </c>
      <c r="AF12" s="189">
        <v>0</v>
      </c>
      <c r="AG12" s="202">
        <v>49</v>
      </c>
      <c r="AH12" s="183">
        <v>105</v>
      </c>
      <c r="AI12" s="183">
        <v>129</v>
      </c>
      <c r="AJ12" s="203">
        <v>25</v>
      </c>
      <c r="AK12" s="182">
        <v>0</v>
      </c>
      <c r="AL12" s="183">
        <v>0</v>
      </c>
      <c r="AM12" s="183">
        <v>0</v>
      </c>
      <c r="AN12" s="189">
        <v>0</v>
      </c>
      <c r="AO12" s="259">
        <v>2</v>
      </c>
      <c r="AP12" s="155">
        <v>2</v>
      </c>
      <c r="AQ12" s="155">
        <v>2</v>
      </c>
      <c r="AR12" s="154">
        <v>2</v>
      </c>
      <c r="AS12" s="340" t="s">
        <v>802</v>
      </c>
      <c r="AT12" s="203"/>
      <c r="AU12" s="202"/>
      <c r="AV12" s="203"/>
      <c r="AW12" s="202"/>
      <c r="AX12" s="203"/>
      <c r="AY12" s="126">
        <f t="shared" si="1"/>
        <v>870</v>
      </c>
      <c r="AZ12" s="127">
        <f t="shared" si="1"/>
        <v>1303</v>
      </c>
      <c r="BA12" s="127">
        <f t="shared" si="1"/>
        <v>1040</v>
      </c>
      <c r="BB12" s="127">
        <f t="shared" si="1"/>
        <v>1133</v>
      </c>
      <c r="BC12" s="125">
        <f>IF(ISNUMBER(X12),X12," - ")</f>
        <v>341</v>
      </c>
      <c r="BD12" s="126">
        <f t="shared" si="2"/>
        <v>0.79815809669992321</v>
      </c>
      <c r="BE12" s="127">
        <f t="shared" si="3"/>
        <v>1.0894230769230768</v>
      </c>
      <c r="BF12" s="127">
        <f t="shared" si="4"/>
        <v>0.32788461538461539</v>
      </c>
      <c r="BG12" s="196">
        <f t="shared" si="5"/>
        <v>2.0894230769230768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1108</v>
      </c>
      <c r="J13" s="184">
        <f t="shared" si="6"/>
        <v>1439</v>
      </c>
      <c r="K13" s="184">
        <f t="shared" si="6"/>
        <v>1725</v>
      </c>
      <c r="L13" s="184">
        <f t="shared" si="6"/>
        <v>822</v>
      </c>
      <c r="M13" s="184">
        <f t="shared" si="6"/>
        <v>456</v>
      </c>
      <c r="N13" s="184">
        <f t="shared" si="6"/>
        <v>764</v>
      </c>
      <c r="O13" s="184">
        <f t="shared" si="6"/>
        <v>753</v>
      </c>
      <c r="P13" s="184">
        <f t="shared" si="6"/>
        <v>429</v>
      </c>
      <c r="Q13" s="184">
        <f t="shared" si="6"/>
        <v>411</v>
      </c>
      <c r="R13" s="184">
        <f t="shared" si="6"/>
        <v>1492</v>
      </c>
      <c r="S13" s="184">
        <f t="shared" si="6"/>
        <v>821</v>
      </c>
      <c r="T13" s="184">
        <f t="shared" si="6"/>
        <v>1198</v>
      </c>
      <c r="U13" s="184">
        <f t="shared" si="6"/>
        <v>911</v>
      </c>
      <c r="V13" s="184">
        <f t="shared" si="6"/>
        <v>1108</v>
      </c>
      <c r="W13" s="184">
        <f t="shared" si="6"/>
        <v>244</v>
      </c>
      <c r="X13" s="184">
        <f t="shared" si="6"/>
        <v>341</v>
      </c>
      <c r="Y13" s="184">
        <f t="shared" si="6"/>
        <v>25</v>
      </c>
      <c r="Z13" s="184">
        <f t="shared" si="6"/>
        <v>121</v>
      </c>
      <c r="AA13" s="184">
        <f t="shared" si="6"/>
        <v>123</v>
      </c>
      <c r="AB13" s="184">
        <f t="shared" si="6"/>
        <v>23</v>
      </c>
      <c r="AC13" s="184">
        <f t="shared" si="6"/>
        <v>0</v>
      </c>
      <c r="AD13" s="184">
        <f t="shared" si="6"/>
        <v>0</v>
      </c>
      <c r="AE13" s="184">
        <f t="shared" si="6"/>
        <v>0</v>
      </c>
      <c r="AF13" s="184">
        <f>SUBTOTAL(9,AF9:AF12)</f>
        <v>0</v>
      </c>
      <c r="AG13" s="184">
        <f t="shared" ref="AG13:AT13" si="7">SUBTOTAL(9,AG8:AG12)</f>
        <v>49</v>
      </c>
      <c r="AH13" s="184">
        <f t="shared" si="7"/>
        <v>105</v>
      </c>
      <c r="AI13" s="184">
        <f t="shared" si="7"/>
        <v>129</v>
      </c>
      <c r="AJ13" s="184">
        <f t="shared" si="7"/>
        <v>25</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870</v>
      </c>
      <c r="AZ13" s="184">
        <f>SUBTOTAL(9,AZ8:AZ12)</f>
        <v>1303</v>
      </c>
      <c r="BA13" s="184">
        <f>SUBTOTAL(9,BA8:BA12)</f>
        <v>1040</v>
      </c>
      <c r="BB13" s="184">
        <f>SUBTOTAL(9,BB8:BB12)</f>
        <v>1133</v>
      </c>
      <c r="BC13" s="184">
        <f>SUBTOTAL(9,BC8:BC12)</f>
        <v>341</v>
      </c>
      <c r="BD13" s="205">
        <f>IF(ISNUMBER(BA13/AZ13),BA13/AZ13," - ")</f>
        <v>0.79815809669992321</v>
      </c>
      <c r="BE13" s="206">
        <f>IF(ISNUMBER(BB13/BA13),BB13/BA13, " - ")</f>
        <v>1.0894230769230768</v>
      </c>
      <c r="BF13" s="206">
        <f>IF(ISNUMBER(BC13/BA13),BC13/BA13, " - ")</f>
        <v>0.32788461538461539</v>
      </c>
      <c r="BG13" s="207">
        <f>IF(ISNUMBER((AY13+AZ13)/BA13),(AY13+AZ13)/BA13," - ")</f>
        <v>2.0894230769230768</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483</v>
      </c>
      <c r="J16" s="183">
        <v>1027</v>
      </c>
      <c r="K16" s="183">
        <v>978</v>
      </c>
      <c r="L16" s="183">
        <v>548</v>
      </c>
      <c r="M16" s="183">
        <v>150</v>
      </c>
      <c r="N16" s="183">
        <v>396</v>
      </c>
      <c r="O16" s="181">
        <v>40</v>
      </c>
      <c r="P16" s="183">
        <v>33</v>
      </c>
      <c r="Q16" s="183">
        <v>56</v>
      </c>
      <c r="R16" s="183">
        <v>62</v>
      </c>
      <c r="S16" s="183">
        <v>387</v>
      </c>
      <c r="T16" s="183">
        <v>1046</v>
      </c>
      <c r="U16" s="183">
        <v>956</v>
      </c>
      <c r="V16" s="183">
        <v>483</v>
      </c>
      <c r="W16" s="183">
        <v>157</v>
      </c>
      <c r="X16" s="189">
        <v>412</v>
      </c>
      <c r="Y16" s="202">
        <v>0</v>
      </c>
      <c r="Z16" s="183">
        <v>0</v>
      </c>
      <c r="AA16" s="183">
        <v>0</v>
      </c>
      <c r="AB16" s="183">
        <v>0</v>
      </c>
      <c r="AC16" s="183">
        <v>1</v>
      </c>
      <c r="AD16" s="183">
        <v>18</v>
      </c>
      <c r="AE16" s="183">
        <v>19</v>
      </c>
      <c r="AF16" s="189">
        <v>0</v>
      </c>
      <c r="AG16" s="202">
        <v>0</v>
      </c>
      <c r="AH16" s="183">
        <v>0</v>
      </c>
      <c r="AI16" s="183">
        <v>0</v>
      </c>
      <c r="AJ16" s="203">
        <v>0</v>
      </c>
      <c r="AK16" s="182">
        <v>1</v>
      </c>
      <c r="AL16" s="183">
        <v>25</v>
      </c>
      <c r="AM16" s="183">
        <v>25</v>
      </c>
      <c r="AN16" s="189">
        <v>1</v>
      </c>
      <c r="AO16" s="259">
        <v>2</v>
      </c>
      <c r="AP16" s="155">
        <v>2</v>
      </c>
      <c r="AQ16" s="155">
        <v>2</v>
      </c>
      <c r="AR16" s="155">
        <v>2</v>
      </c>
      <c r="AS16" s="340" t="s">
        <v>487</v>
      </c>
      <c r="AT16" s="203"/>
      <c r="AU16" s="202"/>
      <c r="AV16" s="203"/>
      <c r="AW16" s="202"/>
      <c r="AX16" s="203"/>
      <c r="AY16" s="126">
        <f t="shared" si="9"/>
        <v>387</v>
      </c>
      <c r="AZ16" s="127">
        <f t="shared" si="9"/>
        <v>1046</v>
      </c>
      <c r="BA16" s="127">
        <f t="shared" si="9"/>
        <v>956</v>
      </c>
      <c r="BB16" s="127">
        <f t="shared" si="9"/>
        <v>483</v>
      </c>
      <c r="BC16" s="125">
        <f>IF(ISNUMBER(W16),W16," - ")</f>
        <v>157</v>
      </c>
      <c r="BD16" s="126">
        <f t="shared" ref="BD16" si="11">IF(ISNUMBER(BA16/AZ16),BA16/AZ16," - ")</f>
        <v>0.91395793499043976</v>
      </c>
      <c r="BE16" s="127">
        <f t="shared" ref="BE16" si="12">IF(ISNUMBER(BB16/BA16),BB16/BA16, " - ")</f>
        <v>0.50523012552301261</v>
      </c>
      <c r="BF16" s="127">
        <f t="shared" ref="BF16" si="13">IF(ISNUMBER(BC16/BA16),BC16/BA16, " - ")</f>
        <v>0.16422594142259414</v>
      </c>
      <c r="BG16" s="196">
        <f t="shared" si="10"/>
        <v>1.4989539748953975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48</v>
      </c>
      <c r="J17" s="183">
        <v>80</v>
      </c>
      <c r="K17" s="183">
        <v>91</v>
      </c>
      <c r="L17" s="183">
        <v>37</v>
      </c>
      <c r="M17" s="183">
        <v>11</v>
      </c>
      <c r="N17" s="183">
        <v>59</v>
      </c>
      <c r="O17" s="183">
        <v>0</v>
      </c>
      <c r="P17" s="183">
        <v>0</v>
      </c>
      <c r="Q17" s="183">
        <v>1</v>
      </c>
      <c r="R17" s="183">
        <v>0</v>
      </c>
      <c r="S17" s="183">
        <v>39</v>
      </c>
      <c r="T17" s="183">
        <v>78</v>
      </c>
      <c r="U17" s="183">
        <v>69</v>
      </c>
      <c r="V17" s="183">
        <v>48</v>
      </c>
      <c r="W17" s="183">
        <v>13</v>
      </c>
      <c r="X17" s="189">
        <v>51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39</v>
      </c>
      <c r="AZ17" s="129">
        <f t="shared" si="14"/>
        <v>78</v>
      </c>
      <c r="BA17" s="129">
        <f t="shared" si="14"/>
        <v>69</v>
      </c>
      <c r="BB17" s="129">
        <f t="shared" si="14"/>
        <v>48</v>
      </c>
      <c r="BC17" s="125">
        <f>IF(ISNUMBER(W17),W17," - ")</f>
        <v>13</v>
      </c>
      <c r="BD17" s="126">
        <f>IF(ISNUMBER(BA17/AZ17),BA17/AZ17," - ")</f>
        <v>0.88461538461538458</v>
      </c>
      <c r="BE17" s="127">
        <f>IF(ISNUMBER(BB17/BA17),BB17/BA17, " - ")</f>
        <v>0.69565217391304346</v>
      </c>
      <c r="BF17" s="127">
        <f>IF(ISNUMBER(BC17/BA17),BC17/BA17, " - ")</f>
        <v>0.18840579710144928</v>
      </c>
      <c r="BG17" s="196">
        <f>IF(ISNUMBER((AY17+AZ17)/BA17),(AY17+AZ17)/BA17," - ")</f>
        <v>1.6956521739130435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531</v>
      </c>
      <c r="J18" s="184">
        <f t="shared" si="15"/>
        <v>1107</v>
      </c>
      <c r="K18" s="184">
        <f t="shared" si="15"/>
        <v>1069</v>
      </c>
      <c r="L18" s="184">
        <f t="shared" si="15"/>
        <v>585</v>
      </c>
      <c r="M18" s="184">
        <f t="shared" si="15"/>
        <v>161</v>
      </c>
      <c r="N18" s="184">
        <f t="shared" si="15"/>
        <v>455</v>
      </c>
      <c r="O18" s="184">
        <f t="shared" si="15"/>
        <v>40</v>
      </c>
      <c r="P18" s="184">
        <f t="shared" si="15"/>
        <v>33</v>
      </c>
      <c r="Q18" s="184">
        <f t="shared" si="15"/>
        <v>57</v>
      </c>
      <c r="R18" s="184">
        <f t="shared" si="15"/>
        <v>62</v>
      </c>
      <c r="S18" s="184">
        <f t="shared" si="15"/>
        <v>426</v>
      </c>
      <c r="T18" s="184">
        <f t="shared" si="15"/>
        <v>1124</v>
      </c>
      <c r="U18" s="184">
        <f t="shared" si="15"/>
        <v>1025</v>
      </c>
      <c r="V18" s="184">
        <f t="shared" si="15"/>
        <v>531</v>
      </c>
      <c r="W18" s="184">
        <f t="shared" si="15"/>
        <v>170</v>
      </c>
      <c r="X18" s="184">
        <f t="shared" si="15"/>
        <v>463</v>
      </c>
      <c r="Y18" s="184">
        <f t="shared" si="15"/>
        <v>0</v>
      </c>
      <c r="Z18" s="184">
        <f t="shared" si="15"/>
        <v>0</v>
      </c>
      <c r="AA18" s="184">
        <f t="shared" si="15"/>
        <v>0</v>
      </c>
      <c r="AB18" s="184">
        <f t="shared" si="15"/>
        <v>0</v>
      </c>
      <c r="AC18" s="184">
        <f t="shared" si="15"/>
        <v>1</v>
      </c>
      <c r="AD18" s="184">
        <f t="shared" si="15"/>
        <v>18</v>
      </c>
      <c r="AE18" s="184">
        <f t="shared" si="15"/>
        <v>19</v>
      </c>
      <c r="AF18" s="184">
        <f t="shared" si="15"/>
        <v>0</v>
      </c>
      <c r="AG18" s="184">
        <f t="shared" si="15"/>
        <v>0</v>
      </c>
      <c r="AH18" s="184">
        <f t="shared" si="15"/>
        <v>0</v>
      </c>
      <c r="AI18" s="184">
        <f t="shared" si="15"/>
        <v>0</v>
      </c>
      <c r="AJ18" s="184">
        <f t="shared" si="15"/>
        <v>0</v>
      </c>
      <c r="AK18" s="184">
        <f t="shared" si="15"/>
        <v>1</v>
      </c>
      <c r="AL18" s="184">
        <f t="shared" si="15"/>
        <v>25</v>
      </c>
      <c r="AM18" s="184">
        <f t="shared" si="15"/>
        <v>25</v>
      </c>
      <c r="AN18" s="184">
        <f t="shared" si="15"/>
        <v>1</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426</v>
      </c>
      <c r="AZ18" s="184">
        <f>SUBTOTAL(9,AZ14:AZ17)</f>
        <v>1124</v>
      </c>
      <c r="BA18" s="184">
        <f>SUBTOTAL(9,BA14:BA17)</f>
        <v>1025</v>
      </c>
      <c r="BB18" s="184">
        <f>SUBTOTAL(9,BB14:BB17)</f>
        <v>531</v>
      </c>
      <c r="BC18" s="184">
        <f>SUBTOTAL(9,BC14:BC17)</f>
        <v>170</v>
      </c>
      <c r="BD18" s="205">
        <f>IF(ISNUMBER(BA18/AZ18),BA18/AZ18," - ")</f>
        <v>0.91192170818505336</v>
      </c>
      <c r="BE18" s="206">
        <f>IF(ISNUMBER(BB18/BA18),BB18/BA18, " - ")</f>
        <v>0.51804878048780489</v>
      </c>
      <c r="BF18" s="206">
        <f>IF(ISNUMBER(BC18/BA18),BC18/BA18, " - ")</f>
        <v>0.16585365853658537</v>
      </c>
      <c r="BG18" s="207">
        <f>IF(ISNUMBER((AY18+AZ18)/BA18),(AY18+AZ18)/BA18," - ")</f>
        <v>1.5121951219512195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1639</v>
      </c>
      <c r="J19" s="134">
        <f t="shared" si="18"/>
        <v>2546</v>
      </c>
      <c r="K19" s="134">
        <f t="shared" si="18"/>
        <v>2794</v>
      </c>
      <c r="L19" s="134">
        <f t="shared" si="18"/>
        <v>1407</v>
      </c>
      <c r="M19" s="134">
        <f t="shared" si="18"/>
        <v>617</v>
      </c>
      <c r="N19" s="134">
        <f t="shared" si="18"/>
        <v>1219</v>
      </c>
      <c r="O19" s="134">
        <f t="shared" si="18"/>
        <v>793</v>
      </c>
      <c r="P19" s="134">
        <f t="shared" si="18"/>
        <v>462</v>
      </c>
      <c r="Q19" s="134">
        <f t="shared" si="18"/>
        <v>468</v>
      </c>
      <c r="R19" s="134">
        <f t="shared" si="18"/>
        <v>1554</v>
      </c>
      <c r="S19" s="134">
        <f t="shared" si="18"/>
        <v>1247</v>
      </c>
      <c r="T19" s="134">
        <f t="shared" si="18"/>
        <v>2322</v>
      </c>
      <c r="U19" s="134">
        <f t="shared" si="18"/>
        <v>1936</v>
      </c>
      <c r="V19" s="134">
        <f t="shared" si="18"/>
        <v>1639</v>
      </c>
      <c r="W19" s="134">
        <f t="shared" si="18"/>
        <v>414</v>
      </c>
      <c r="X19" s="134">
        <f t="shared" si="18"/>
        <v>804</v>
      </c>
      <c r="Y19" s="134">
        <f t="shared" si="18"/>
        <v>25</v>
      </c>
      <c r="Z19" s="134">
        <f t="shared" si="18"/>
        <v>121</v>
      </c>
      <c r="AA19" s="134">
        <f t="shared" si="18"/>
        <v>123</v>
      </c>
      <c r="AB19" s="134">
        <f t="shared" si="18"/>
        <v>23</v>
      </c>
      <c r="AC19" s="134">
        <f t="shared" si="18"/>
        <v>1</v>
      </c>
      <c r="AD19" s="134">
        <f t="shared" si="18"/>
        <v>18</v>
      </c>
      <c r="AE19" s="134">
        <f t="shared" si="18"/>
        <v>19</v>
      </c>
      <c r="AF19" s="134">
        <f t="shared" si="18"/>
        <v>0</v>
      </c>
      <c r="AG19" s="134">
        <f t="shared" si="18"/>
        <v>49</v>
      </c>
      <c r="AH19" s="134">
        <f t="shared" si="18"/>
        <v>105</v>
      </c>
      <c r="AI19" s="134">
        <f t="shared" si="18"/>
        <v>129</v>
      </c>
      <c r="AJ19" s="134">
        <f t="shared" si="18"/>
        <v>25</v>
      </c>
      <c r="AK19" s="134">
        <f t="shared" si="18"/>
        <v>1</v>
      </c>
      <c r="AL19" s="134">
        <f t="shared" si="18"/>
        <v>25</v>
      </c>
      <c r="AM19" s="134">
        <f t="shared" si="18"/>
        <v>25</v>
      </c>
      <c r="AN19" s="210">
        <f t="shared" si="18"/>
        <v>1</v>
      </c>
      <c r="AO19" s="211">
        <v>3</v>
      </c>
      <c r="AP19" s="211">
        <v>2</v>
      </c>
      <c r="AQ19" s="211">
        <v>2</v>
      </c>
      <c r="AR19" s="211">
        <v>2</v>
      </c>
      <c r="AS19" s="153">
        <f t="shared" si="18"/>
        <v>0</v>
      </c>
      <c r="AT19" s="153">
        <f t="shared" si="18"/>
        <v>0</v>
      </c>
      <c r="AU19" s="211"/>
      <c r="AV19" s="212"/>
      <c r="AW19" s="211"/>
      <c r="AX19" s="212"/>
      <c r="AY19" s="133">
        <f>SUBTOTAL(9,AY9:AY18)</f>
        <v>1296</v>
      </c>
      <c r="AZ19" s="134">
        <f>SUBTOTAL(9,AZ9:AZ18)</f>
        <v>2427</v>
      </c>
      <c r="BA19" s="134">
        <f>SUBTOTAL(9,BA9:BA18)</f>
        <v>2065</v>
      </c>
      <c r="BB19" s="134">
        <f>SUBTOTAL(9,BB9:BB18)</f>
        <v>1664</v>
      </c>
      <c r="BC19" s="135">
        <f>SUBTOTAL(9,BC9:BC18)</f>
        <v>511</v>
      </c>
      <c r="BD19" s="213">
        <f>IF(ISNUMBER(BA19/AZ19),BA19/AZ19," - ")</f>
        <v>0.85084466419447879</v>
      </c>
      <c r="BE19" s="210">
        <f>IF(ISNUMBER(BB19/BA19),BB19/BA19, " - ")</f>
        <v>0.80581113801452786</v>
      </c>
      <c r="BF19" s="210">
        <f>IF(ISNUMBER(BC19/BA19),BC19/BA19, " - ")</f>
        <v>0.24745762711864408</v>
      </c>
      <c r="BG19" s="135">
        <f>IF(ISNUMBER((AY19+AZ19)/BA19),(AY19+AZ19)/BA19," - ")</f>
        <v>1.802905569007264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Og4BECcEqUfUXqvazP+1wrGGW9Jh2V108vZ471NcYcaS7pLsfXNb31tPf3sf+syyILPwtnL/X9EeuhqrK/vdg==" saltValue="T6InS1ZCUTebC/TpObao0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LA RIOJA</v>
      </c>
    </row>
    <row r="4" spans="1:156" ht="13.5" thickBot="1">
      <c r="A4" t="str">
        <f>Criterios!A10</f>
        <v>Provincias</v>
      </c>
      <c r="B4" t="str">
        <f>Criterios!B10</f>
        <v>LA RIOJA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IwHzYQed05055DWCGVcbHxRfw3HEr3DPihmMJEqYg14Y9cJIXS5c5EoJJDIlMU+Kr3/fzMqVkIcSomazfQP7A==" saltValue="snggY1pxwdSpFXy4UiJWQ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LA RIOJA</v>
      </c>
    </row>
    <row r="2" spans="1:78" ht="16.5" customHeight="1">
      <c r="C2" s="488" t="str">
        <f>Criterios!A10 &amp;"  "&amp;Criterios!B10 &amp; "  " &amp; IF(NOT(ISBLANK(Criterios!A11)),Criterios!A11 &amp;"  "&amp;Criterios!B11,"")</f>
        <v>Provincias  LA RIOJA  Resumenes por Partidos Judiciales  HARO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4</v>
      </c>
      <c r="AG10" s="334"/>
      <c r="AH10" s="334"/>
      <c r="AI10" s="334"/>
      <c r="AJ10" s="334"/>
      <c r="AK10" s="334"/>
      <c r="AL10" s="479"/>
      <c r="AM10" s="335">
        <f>IF(ISNUMBER(Datos!R10),Datos!R10," - ")</f>
        <v>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1</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11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121</v>
      </c>
      <c r="O12" s="334"/>
      <c r="P12" s="334"/>
      <c r="Q12" s="226">
        <f>IF(ISNUMBER(Datos!P12),Datos!P12,0)</f>
        <v>424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411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23</v>
      </c>
      <c r="AI12" s="334" t="str">
        <f>IF(ISNUMBER(Datos!CD12),Datos!CD12,"-")</f>
        <v>-</v>
      </c>
      <c r="AJ12" s="334" t="str">
        <f>IF(ISNUMBER(Datos!EN12),Datos!EN12," - ")</f>
        <v xml:space="preserve"> - </v>
      </c>
      <c r="AK12" s="334"/>
      <c r="AL12" s="479"/>
      <c r="AM12" s="335">
        <f>IF(ISNUMBER(Datos!R12),Datos!R12," - ")</f>
        <v>1487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454</v>
      </c>
      <c r="BD12" s="229">
        <f>IF(ISNUMBER(Datos!N12),Datos!N12," - ")</f>
        <v>763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1.1881443298969072</v>
      </c>
      <c r="BH12" s="260">
        <f>IF(ISNUMBER(((IF(J_V="SI",Datos!L12/Datos!K12,(Datos!L12+Datos!AB12)/(Datos!K12+Datos!AA12)))*11)/factor_trimestre),((IF(J_V="SI",Datos!L12/Datos!K12,(Datos!L12+Datos!AB12)/(Datos!K12+Datos!AA12)))*11)/factor_trimestre," - ")</f>
        <v>5.0168112798264639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8.8195386702849387E-3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121</v>
      </c>
      <c r="O13" s="900">
        <f t="shared" si="0"/>
        <v>0</v>
      </c>
      <c r="P13" s="900">
        <f t="shared" si="0"/>
        <v>0</v>
      </c>
      <c r="Q13" s="899">
        <f t="shared" si="0"/>
        <v>429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411</v>
      </c>
      <c r="AD13" s="899">
        <f t="shared" si="1"/>
        <v>0</v>
      </c>
      <c r="AE13" s="899">
        <f t="shared" si="1"/>
        <v>0</v>
      </c>
      <c r="AF13" s="899">
        <f t="shared" si="1"/>
        <v>4</v>
      </c>
      <c r="AG13" s="899">
        <f t="shared" si="1"/>
        <v>0</v>
      </c>
      <c r="AH13" s="899">
        <f t="shared" si="1"/>
        <v>23</v>
      </c>
      <c r="AI13" s="899">
        <f t="shared" si="1"/>
        <v>0</v>
      </c>
      <c r="AJ13" s="899">
        <f t="shared" si="1"/>
        <v>0</v>
      </c>
      <c r="AK13" s="899">
        <f t="shared" si="1"/>
        <v>0</v>
      </c>
      <c r="AL13" s="899">
        <f t="shared" si="1"/>
        <v>0</v>
      </c>
      <c r="AM13" s="899">
        <f t="shared" si="1"/>
        <v>1492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456</v>
      </c>
      <c r="BD13" s="899">
        <f t="shared" si="1"/>
        <v>764</v>
      </c>
      <c r="BE13" s="899">
        <f t="shared" si="1"/>
        <v>0</v>
      </c>
      <c r="BF13" s="899">
        <f t="shared" si="1"/>
        <v>0</v>
      </c>
      <c r="BG13" s="899">
        <f>IF(ISNUMBER(Datos!K13/Datos!J13),Datos!K13/Datos!J13," - ")</f>
        <v>1.1987491313412091</v>
      </c>
      <c r="BH13" s="903">
        <f>IF(ISNUMBER(((Datos!L13/Datos!K13)*11)/factor_trimestre),((Datos!L13/Datos!K13)*11)/factor_trimestre," - ")</f>
        <v>5.2417391304347829</v>
      </c>
      <c r="BI13" s="899">
        <f>IF(ISNUMBER('Resol  Asuntos'!D13/NºAsuntos!G13),'Resol  Asuntos'!D13/NºAsuntos!G13," - ")</f>
        <v>0.24675324675324675</v>
      </c>
      <c r="BJ13" s="899" t="str">
        <f>IF(ISNUMBER(Datos!CI13/Datos!CJ13),Datos!CI13/Datos!CJ13," - ")</f>
        <v xml:space="preserve"> - </v>
      </c>
      <c r="BK13" s="899">
        <f>SUBTOTAL(9,BK8:BK12)</f>
        <v>0</v>
      </c>
      <c r="BL13" s="899" t="str">
        <f>IF(ISNUMBER((I13-AB13+L13)/(F13)),(I13-AB13+L13)/(F13)," - ")</f>
        <v xml:space="preserve"> - </v>
      </c>
      <c r="BM13" s="904">
        <f>SUBTOTAL(9,BM9:BM12)</f>
        <v>8.8195386702849387E-3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499</v>
      </c>
      <c r="G16" s="598">
        <f>IF(ISNUMBER(IF(D_I="SI",Datos!I16,Datos!I16+Datos!AC16)),IF(D_I="SI",Datos!I16,Datos!I16+Datos!AC16)," - ")</f>
        <v>483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978</v>
      </c>
      <c r="AC16" s="226">
        <f>IF(ISNUMBER(Datos!Q16),Datos!Q16," - ")</f>
        <v>56</v>
      </c>
      <c r="AD16" s="334"/>
      <c r="AE16" s="484"/>
      <c r="AF16" s="596">
        <f>IF(ISNUMBER(IF(D_I="SI",Datos!L16,Datos!L16+Datos!AF16)),IF(D_I="SI",Datos!L16,Datos!L16+Datos!AF16)," - ")</f>
        <v>548</v>
      </c>
      <c r="AG16" s="334"/>
      <c r="AH16" s="334"/>
      <c r="AI16" s="334"/>
      <c r="AJ16" s="334"/>
      <c r="AK16" s="334"/>
      <c r="AL16" s="479"/>
      <c r="AM16" s="335">
        <f>IF(ISNUMBER(Datos!R16),Datos!R16," - ")</f>
        <v>62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150</v>
      </c>
      <c r="BD16" s="229">
        <f>IF(ISNUMBER(Datos!N16),Datos!N16," - ")</f>
        <v>396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0.95228821811100295</v>
      </c>
      <c r="BH16" s="260">
        <f>IF(ISNUMBER(((IF(D_I="SI",Datos!L16/Datos!K16,(Datos!L16+Datos!AF16)/(Datos!K16+Datos!AE16)))*11)/factor_trimestre),((IF(D_I="SI",Datos!L16/Datos!K16,(Datos!L16+Datos!AF16)/(Datos!K16+Datos!AE16)))*11)/factor_trimestre," - ")</f>
        <v>6.1635991820040896</v>
      </c>
      <c r="BI16" s="243">
        <f>IF(ISNUMBER('Resol  Asuntos'!D16/NºAsuntos!G16),'Resol  Asuntos'!D16/NºAsuntos!G16," - ")</f>
        <v>0.15337423312883436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91</v>
      </c>
      <c r="AC17" s="226">
        <f>IF(ISNUMBER(Datos!Q17),Datos!Q17," - ")</f>
        <v>1</v>
      </c>
      <c r="AD17" s="334"/>
      <c r="AE17" s="484"/>
      <c r="AF17" s="332">
        <f>IF(ISNUMBER(Datos!L17),Datos!L17,"-")</f>
        <v>37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v>
      </c>
      <c r="BD17" s="229">
        <f>IF(ISNUMBER(Datos!N17),Datos!N17," - ")</f>
        <v>59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1.1375</v>
      </c>
      <c r="BH17" s="260">
        <f>IF(ISNUMBER(((IF(D_I="SI",Datos!L17/Datos!K17,(Datos!L17+Datos!AF17)/(Datos!K17+Datos!AE17)))*11)/factor_trimestre),((IF(D_I="SI",Datos!L17/Datos!K17,(Datos!L17+Datos!AF17)/(Datos!K17+Datos!AE17)))*11)/factor_trimestre," - ")</f>
        <v>4.4725274725274726</v>
      </c>
      <c r="BI17" s="243">
        <f>IF(ISNUMBER('Resol  Asuntos'!D17/NºAsuntos!G17),'Resol  Asuntos'!D17/NºAsuntos!G17," - ")</f>
        <v>0.12087912087912088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499</v>
      </c>
      <c r="G18" s="898">
        <f>SUBTOTAL(9,G15:G17)</f>
        <v>531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1069</v>
      </c>
      <c r="AC18" s="899">
        <f t="shared" si="4"/>
        <v>57</v>
      </c>
      <c r="AD18" s="899">
        <f t="shared" si="4"/>
        <v>0</v>
      </c>
      <c r="AE18" s="899">
        <f t="shared" si="4"/>
        <v>0</v>
      </c>
      <c r="AF18" s="899">
        <f t="shared" si="4"/>
        <v>585</v>
      </c>
      <c r="AG18" s="899">
        <f t="shared" si="4"/>
        <v>0</v>
      </c>
      <c r="AH18" s="899">
        <f t="shared" si="4"/>
        <v>0</v>
      </c>
      <c r="AI18" s="899">
        <f t="shared" si="4"/>
        <v>0</v>
      </c>
      <c r="AJ18" s="899">
        <f t="shared" si="4"/>
        <v>0</v>
      </c>
      <c r="AK18" s="899">
        <f t="shared" si="4"/>
        <v>0</v>
      </c>
      <c r="AL18" s="899">
        <f t="shared" si="4"/>
        <v>0</v>
      </c>
      <c r="AM18" s="899">
        <f t="shared" si="4"/>
        <v>62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161</v>
      </c>
      <c r="BD18" s="899">
        <f t="shared" si="4"/>
        <v>455</v>
      </c>
      <c r="BE18" s="899">
        <f t="shared" si="4"/>
        <v>0</v>
      </c>
      <c r="BF18" s="899">
        <f t="shared" si="4"/>
        <v>0</v>
      </c>
      <c r="BG18" s="899">
        <f>IF(ISNUMBER(Datos!K18/Datos!J18),Datos!K18/Datos!J18," - ")</f>
        <v>0.96567299006323393</v>
      </c>
      <c r="BH18" s="903">
        <f>IF(ISNUMBER(((Datos!L18/Datos!K18)*11)/factor_trimestre),((Datos!L18/Datos!K18)*11)/factor_trimestre," - ")</f>
        <v>6.0196445275958839</v>
      </c>
      <c r="BI18" s="899">
        <f>SUBTOTAL(9,BI15:BI17)</f>
        <v>0.27425335400795525</v>
      </c>
      <c r="BJ18" s="899">
        <f>SUBTOTAL(9,BJ15:BJ17)</f>
        <v>0</v>
      </c>
      <c r="BK18" s="899">
        <f>SUBTOTAL(9,BK15:BK17)</f>
        <v>0</v>
      </c>
      <c r="BL18" s="899">
        <f>IF(ISNUMBER((I18-AB18+L18)/(F18)),(I18-AB18+L18)/(F18)," - ")</f>
        <v>-2.1422845691382766</v>
      </c>
      <c r="BM18" s="905">
        <f>IF(ISNUMBER((Datos!P18-Datos!Q18)/(Datos!R18-Datos!P18+Datos!Q18)),(Datos!P18-Datos!Q18)/(Datos!R18-Datos!P18+Datos!Q18)," - ")</f>
        <v>-0.27906976744186046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499</v>
      </c>
      <c r="G19" s="820">
        <f t="shared" si="6"/>
        <v>531</v>
      </c>
      <c r="H19" s="822">
        <f t="shared" si="6"/>
        <v>0</v>
      </c>
      <c r="I19" s="820">
        <f t="shared" si="6"/>
        <v>0</v>
      </c>
      <c r="J19" s="822">
        <f t="shared" si="6"/>
        <v>0</v>
      </c>
      <c r="K19" s="822">
        <f t="shared" si="6"/>
        <v>0</v>
      </c>
      <c r="L19" s="881">
        <f t="shared" si="6"/>
        <v>0</v>
      </c>
      <c r="M19" s="881">
        <f t="shared" si="6"/>
        <v>0</v>
      </c>
      <c r="N19" s="881">
        <f t="shared" si="6"/>
        <v>121</v>
      </c>
      <c r="O19" s="881">
        <f t="shared" si="6"/>
        <v>0</v>
      </c>
      <c r="P19" s="881">
        <f t="shared" si="6"/>
        <v>0</v>
      </c>
      <c r="Q19" s="822">
        <f t="shared" si="6"/>
        <v>462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1073</v>
      </c>
      <c r="AC19" s="821">
        <f t="shared" si="7"/>
        <v>468</v>
      </c>
      <c r="AD19" s="821">
        <f t="shared" si="7"/>
        <v>0</v>
      </c>
      <c r="AE19" s="821">
        <f t="shared" si="7"/>
        <v>0</v>
      </c>
      <c r="AF19" s="828">
        <f t="shared" si="7"/>
        <v>589</v>
      </c>
      <c r="AG19" s="828">
        <f t="shared" si="7"/>
        <v>0</v>
      </c>
      <c r="AH19" s="828">
        <f t="shared" si="7"/>
        <v>23</v>
      </c>
      <c r="AI19" s="828">
        <f t="shared" si="7"/>
        <v>0</v>
      </c>
      <c r="AJ19" s="821">
        <f t="shared" si="7"/>
        <v>0</v>
      </c>
      <c r="AK19" s="828">
        <f t="shared" si="7"/>
        <v>0</v>
      </c>
      <c r="AL19" s="828">
        <f t="shared" si="7"/>
        <v>0</v>
      </c>
      <c r="AM19" s="828">
        <f t="shared" si="7"/>
        <v>1554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617</v>
      </c>
      <c r="BD19" s="820">
        <f t="shared" si="7"/>
        <v>1219</v>
      </c>
      <c r="BE19" s="820">
        <f t="shared" si="7"/>
        <v>0</v>
      </c>
      <c r="BF19" s="830">
        <f t="shared" si="7"/>
        <v>0</v>
      </c>
      <c r="BG19" s="915">
        <f>IF(ISNUMBER(Datos!K19/Datos!J19),Datos!K19/Datos!J19," - ")</f>
        <v>1.0974076983503536</v>
      </c>
      <c r="BH19" s="915">
        <f>IF(ISNUMBER(((Datos!L19/Datos!K19)*11)/factor_trimestre),((Datos!L19/Datos!K19)*11)/factor_trimestre," - ")</f>
        <v>5.5393700787401574</v>
      </c>
      <c r="BI19" s="813">
        <f>IF(ISNUMBER(Datos!J19/Datos!I19),Datos!J19/Datos!I19," - ")</f>
        <v>1.5533862111043319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-2.1503006012024048</v>
      </c>
      <c r="BM19" s="889">
        <f>IF(ISNUMBER((Datos!P19-Datos!Q19+R19)/(Datos!R19-Datos!P19+Datos!Q19-R19)),(Datos!P19-Datos!Q19+R19)/(Datos!R19-Datos!P19+Datos!Q19-R19)," - ")</f>
        <v>-3.8461538461538464E-3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212.4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288.09778432562325</v>
      </c>
      <c r="G21" s="552">
        <f>IF(ISNUMBER(STDEV(G8:G18)),STDEV(G8:G18),"-")</f>
        <v>270.17827447816745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544.6317104245768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204.3552462420935</v>
      </c>
      <c r="BD21" s="551"/>
      <c r="BE21" s="551">
        <f>IF(ISNUMBER(STDEV(BE8:BE18)),STDEV(BE8:BE18),"-")</f>
        <v>0</v>
      </c>
      <c r="BF21" s="556">
        <f>IF(ISNUMBER(STDEV(BF8:BF18)),STDEV(BF8:BF18),"-")</f>
        <v>0</v>
      </c>
      <c r="BG21" s="775">
        <f>IF(ISNUMBER(STDEV(BG8:BG18)),STDEV(BG8:BG18),"-")</f>
        <v>0.2633274323475257</v>
      </c>
      <c r="BH21" s="776">
        <f>IF(ISNUMBER(STDEV(BH8:BH18)),STDEV(BH8:BH18),"-")</f>
        <v>2.3787043252413493</v>
      </c>
      <c r="BI21" s="249">
        <f>IF(ISNUMBER(STDEV(BI8:BI18)),STDEV(BI8:BI18),"-")</f>
        <v>7.3320950406160948E-2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iWuhKdgTeas3hmJxO4adL3i3rYTuHnkvAHlmM+Fjs41fvbpJ3+3nm56mqNBCDRzQTQAouOKqSlx0zp5jP/LPeA==" saltValue="C0m6/5GF3J1WQIQtTk7jE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LA RIOJA</v>
      </c>
    </row>
    <row r="2" spans="1:78" ht="16.5" customHeight="1">
      <c r="C2" s="528" t="str">
        <f>Criterios!A10 &amp;"  "&amp;Criterios!B10 &amp; "  " &amp; IF(NOT(ISBLANK(Criterios!A11)),Criterios!A11 &amp;"  "&amp;Criterios!B11,"")</f>
        <v>Provincias  LA RIOJA  Resumenes por Partidos Judiciales  HARO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4</v>
      </c>
      <c r="AB10" s="334"/>
      <c r="AC10" s="334"/>
      <c r="AD10" s="484"/>
      <c r="AE10" s="484">
        <f>IF(ISNUMBER(Datos!R10),Datos!R10," - ")</f>
        <v>5</v>
      </c>
      <c r="AF10" s="229" t="str">
        <f>IF(ISNUMBER(Datos!BV10),Datos!BV10," - ")</f>
        <v xml:space="preserve"> - </v>
      </c>
      <c r="AG10" s="225" t="str">
        <f>IF(ISNUMBER(Datos!DV10),Datos!DV10," - ")</f>
        <v xml:space="preserve"> - </v>
      </c>
      <c r="AH10" s="298"/>
      <c r="AI10" s="227"/>
      <c r="AJ10" s="225">
        <f>IF(ISNUMBER(Datos!M10),Datos!M10," - ")</f>
        <v>2</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424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411</v>
      </c>
      <c r="AA12" s="332" t="str">
        <f>IF(ISNUMBER(IF(J_V="SI",Datos!L12,Datos!L12+Datos!AB12)-IF(Monitorios="SI",Datos!CD12,0)),
                          IF(J_V="SI",Datos!L12,Datos!L12+Datos!AB12)-IF(Monitorios="SI",Datos!CD12,0),
                          " - ")</f>
        <v xml:space="preserve"> - </v>
      </c>
      <c r="AB12" s="334"/>
      <c r="AC12" s="334"/>
      <c r="AD12" s="484"/>
      <c r="AE12" s="484">
        <f>IF(ISNUMBER(Datos!R12),Datos!R12," - ")</f>
        <v>1487</v>
      </c>
      <c r="AF12" s="229" t="str">
        <f>IF(ISNUMBER(Datos!BV12),Datos!BV12," - ")</f>
        <v xml:space="preserve"> - </v>
      </c>
      <c r="AG12" s="225" t="str">
        <f>IF(ISNUMBER(Datos!DV12),Datos!DV12," - ")</f>
        <v xml:space="preserve"> - </v>
      </c>
      <c r="AH12" s="298"/>
      <c r="AI12" s="227"/>
      <c r="AJ12" s="225">
        <f>IF(ISNUMBER(Datos!M12),Datos!M12," - ")</f>
        <v>454</v>
      </c>
      <c r="AK12" s="229">
        <f>IF(ISNUMBER(Datos!N12),Datos!N12," - ")</f>
        <v>763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5.0168112798264639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8.8195386702849387E-3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429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411</v>
      </c>
      <c r="AA13" s="900">
        <f t="shared" si="2"/>
        <v>4</v>
      </c>
      <c r="AB13" s="900">
        <f t="shared" si="2"/>
        <v>0</v>
      </c>
      <c r="AC13" s="900">
        <f t="shared" si="2"/>
        <v>0</v>
      </c>
      <c r="AD13" s="900">
        <f t="shared" si="2"/>
        <v>0</v>
      </c>
      <c r="AE13" s="900">
        <f t="shared" si="2"/>
        <v>1492</v>
      </c>
      <c r="AF13" s="908">
        <f t="shared" si="2"/>
        <v>0</v>
      </c>
      <c r="AG13" s="908">
        <f t="shared" si="2"/>
        <v>0</v>
      </c>
      <c r="AH13" s="908">
        <f t="shared" si="2"/>
        <v>0</v>
      </c>
      <c r="AI13" s="908">
        <f t="shared" si="2"/>
        <v>0</v>
      </c>
      <c r="AJ13" s="908">
        <f t="shared" si="2"/>
        <v>456</v>
      </c>
      <c r="AK13" s="908">
        <f t="shared" si="2"/>
        <v>764</v>
      </c>
      <c r="AL13" s="908">
        <f t="shared" si="2"/>
        <v>0</v>
      </c>
      <c r="AM13" s="908">
        <f t="shared" si="2"/>
        <v>0</v>
      </c>
      <c r="AN13" s="908">
        <f t="shared" si="2"/>
        <v>0</v>
      </c>
      <c r="AO13" s="904">
        <f>IF(ISNUMBER(((NºAsuntos!I13/NºAsuntos!G13)*11)/factor_trimestre),((NºAsuntos!I13/NºAsuntos!G13)*11)/factor_trimestre," - ")</f>
        <v>5.0297619047619051</v>
      </c>
      <c r="AP13" s="910" t="str">
        <f>IF(ISNUMBER(Datos!CI13/Datos!CJ13),Datos!CI13/Datos!CJ13," - ")</f>
        <v xml:space="preserve"> - </v>
      </c>
      <c r="AQ13" s="928">
        <f t="shared" ref="AQ13:AV13" si="3">SUBTOTAL(9,AQ9:AQ12)</f>
        <v>0</v>
      </c>
      <c r="AR13" s="928">
        <f t="shared" si="3"/>
        <v>8.8195386702849387E-3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499</v>
      </c>
      <c r="G16" s="225">
        <f>IF(ISNUMBER(IF(D_I="SI",Datos!I16,Datos!I16+Datos!AC16)),IF(D_I="SI",Datos!I16,Datos!I16+Datos!AC16)," - ")</f>
        <v>483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978</v>
      </c>
      <c r="Z16" s="619">
        <f>IF(ISNUMBER(Datos!Q16),Datos!Q16," - ")</f>
        <v>56</v>
      </c>
      <c r="AA16" s="332">
        <f>IF(ISNUMBER(IF(D_I="SI",Datos!L16,Datos!L16+Datos!AF16)),IF(D_I="SI",Datos!L16,Datos!L16+Datos!AF16)," - ")</f>
        <v>548</v>
      </c>
      <c r="AB16" s="334"/>
      <c r="AC16" s="334"/>
      <c r="AD16" s="484"/>
      <c r="AE16" s="484">
        <f>IF(ISNUMBER(Datos!R16),Datos!R16," - ")</f>
        <v>62</v>
      </c>
      <c r="AF16" s="229" t="str">
        <f>IF(ISNUMBER(Datos!BV16),Datos!BV16," - ")</f>
        <v xml:space="preserve"> - </v>
      </c>
      <c r="AG16" s="225"/>
      <c r="AH16" s="298"/>
      <c r="AI16" s="227"/>
      <c r="AJ16" s="225">
        <f>IF(ISNUMBER(Datos!M16),Datos!M16," - ")</f>
        <v>150</v>
      </c>
      <c r="AK16" s="229">
        <f>IF(ISNUMBER(Datos!N16),Datos!N16," - ")</f>
        <v>396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6.1635991820040896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91</v>
      </c>
      <c r="Z17" s="619">
        <f>IF(ISNUMBER(Datos!Q17),Datos!Q17," - ")</f>
        <v>1</v>
      </c>
      <c r="AA17" s="332">
        <f>IF(ISNUMBER(Datos!L17),Datos!L17,"-")</f>
        <v>37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11</v>
      </c>
      <c r="AK17" s="229">
        <f>IF(ISNUMBER(Datos!N17),Datos!N17," - ")</f>
        <v>59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4.4725274725274726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499</v>
      </c>
      <c r="G18" s="898">
        <f>SUBTOTAL(9,G15:G17)</f>
        <v>531</v>
      </c>
      <c r="H18" s="932">
        <f>SUBTOTAL(9,H15:H17)</f>
        <v>0</v>
      </c>
      <c r="I18" s="911">
        <f>SUBTOTAL(9,I15:I17)</f>
        <v>0</v>
      </c>
      <c r="J18" s="867">
        <f>SUBTOTAL(9,J14:J17)</f>
        <v>0</v>
      </c>
      <c r="K18" s="932">
        <f t="shared" ref="K18:S18" si="4">SUBTOTAL(9,K15:K17)</f>
        <v>0</v>
      </c>
      <c r="L18" s="932">
        <f t="shared" si="4"/>
        <v>0</v>
      </c>
      <c r="M18" s="932">
        <f t="shared" si="4"/>
        <v>0</v>
      </c>
      <c r="N18" s="932">
        <f t="shared" si="4"/>
        <v>33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1069</v>
      </c>
      <c r="Z18" s="932">
        <f t="shared" si="5"/>
        <v>57</v>
      </c>
      <c r="AA18" s="932">
        <f t="shared" si="5"/>
        <v>585</v>
      </c>
      <c r="AB18" s="932">
        <f t="shared" si="5"/>
        <v>0</v>
      </c>
      <c r="AC18" s="932">
        <f t="shared" si="5"/>
        <v>0</v>
      </c>
      <c r="AD18" s="932">
        <f t="shared" si="5"/>
        <v>0</v>
      </c>
      <c r="AE18" s="932">
        <f t="shared" si="5"/>
        <v>62</v>
      </c>
      <c r="AF18" s="932">
        <f t="shared" si="5"/>
        <v>0</v>
      </c>
      <c r="AG18" s="932">
        <f t="shared" si="5"/>
        <v>0</v>
      </c>
      <c r="AH18" s="932">
        <f t="shared" si="5"/>
        <v>0</v>
      </c>
      <c r="AI18" s="932">
        <f t="shared" si="5"/>
        <v>0</v>
      </c>
      <c r="AJ18" s="932">
        <f t="shared" si="5"/>
        <v>161</v>
      </c>
      <c r="AK18" s="932">
        <f t="shared" si="5"/>
        <v>455</v>
      </c>
      <c r="AL18" s="932">
        <f t="shared" si="5"/>
        <v>0</v>
      </c>
      <c r="AM18" s="932">
        <f t="shared" si="5"/>
        <v>0</v>
      </c>
      <c r="AN18" s="932">
        <f t="shared" si="5"/>
        <v>0</v>
      </c>
      <c r="AO18" s="934">
        <f>IF(ISNUMBER(((NºAsuntos!I18/NºAsuntos!G18)*11)/factor_trimestre),((NºAsuntos!I18/NºAsuntos!G18)*11)/factor_trimestre," - ")</f>
        <v>6.0196445275958839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499</v>
      </c>
      <c r="G19" s="820">
        <f t="shared" si="7"/>
        <v>531</v>
      </c>
      <c r="H19" s="821">
        <f t="shared" si="7"/>
        <v>0</v>
      </c>
      <c r="I19" s="820">
        <f t="shared" si="7"/>
        <v>0</v>
      </c>
      <c r="J19" s="822">
        <f t="shared" si="7"/>
        <v>0</v>
      </c>
      <c r="K19" s="820">
        <f t="shared" si="7"/>
        <v>0</v>
      </c>
      <c r="L19" s="823">
        <f t="shared" si="7"/>
        <v>0</v>
      </c>
      <c r="M19" s="820">
        <f t="shared" si="7"/>
        <v>0</v>
      </c>
      <c r="N19" s="821">
        <f t="shared" si="7"/>
        <v>462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1073</v>
      </c>
      <c r="Z19" s="827">
        <f t="shared" si="8"/>
        <v>468</v>
      </c>
      <c r="AA19" s="828">
        <f t="shared" si="8"/>
        <v>589</v>
      </c>
      <c r="AB19" s="828">
        <f t="shared" si="8"/>
        <v>0</v>
      </c>
      <c r="AC19" s="828">
        <f t="shared" si="8"/>
        <v>0</v>
      </c>
      <c r="AD19" s="829">
        <f t="shared" si="8"/>
        <v>0</v>
      </c>
      <c r="AE19" s="829">
        <f t="shared" si="8"/>
        <v>1554</v>
      </c>
      <c r="AF19" s="830">
        <f t="shared" si="8"/>
        <v>0</v>
      </c>
      <c r="AG19" s="831">
        <f t="shared" si="8"/>
        <v>0</v>
      </c>
      <c r="AH19" s="832">
        <f t="shared" si="8"/>
        <v>0</v>
      </c>
      <c r="AI19" s="830">
        <f t="shared" si="8"/>
        <v>0</v>
      </c>
      <c r="AJ19" s="820">
        <f t="shared" si="8"/>
        <v>617</v>
      </c>
      <c r="AK19" s="820">
        <f t="shared" si="8"/>
        <v>1219</v>
      </c>
      <c r="AL19" s="820">
        <f t="shared" si="8"/>
        <v>0</v>
      </c>
      <c r="AM19" s="833">
        <f t="shared" si="8"/>
        <v>0</v>
      </c>
      <c r="AN19" s="823">
        <f>IF(ISNUMBER(Datos!K19/Datos!J19),Datos!K19/Datos!J19," - ")</f>
        <v>1.0974076983503536</v>
      </c>
      <c r="AO19" s="823">
        <f>IF(ISNUMBER(FIND("06",Criterios!A8,1)),(IF(ISNUMBER(((Datos!R19/Datos!Q19)*11)/factor_trimestre),((Datos!R19/Datos!Q19)*11)/factor_trimestre," - ")),(IF(ISNUMBER(((Datos!L19/Datos!K19)*11)/factor_trimestre),((Datos!L19/Datos!K19)*11)/factor_trimestre," - ")))</f>
        <v>5.5393700787401574</v>
      </c>
      <c r="AP19" s="834" t="str">
        <f>IF(ISNUMBER(Datos!CI19/Datos!CJ19),Datos!CI19/Datos!CJ19," - ")</f>
        <v xml:space="preserve"> - </v>
      </c>
      <c r="AQ19" s="834">
        <f>IF(OR(ISNUMBER(FIND("01",Criterios!A8,1)),ISNUMBER(FIND("02",Criterios!A8,1)),ISNUMBER(FIND("03",Criterios!A8,1)),ISNUMBER(FIND("04",Criterios!A8,1))),(J19-Y19+K19)/(F19-K19),(I19-Y19+K19)/(F19-K19))</f>
        <v>-2.1503006012024048</v>
      </c>
      <c r="AR19" s="834">
        <f>IF(ISNUMBER((Datos!P19-Datos!Q19+O19)/(Datos!R19-Datos!P19+Datos!Q19-O19)),(Datos!P19-Datos!Q19+O19)/(Datos!R19-Datos!P19+Datos!Q19-O19)," - ")</f>
        <v>-3.8461538461538464E-3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212.4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288.09778432562325</v>
      </c>
      <c r="G21" s="552">
        <f>IF(ISNUMBER(STDEV(G8:G18)),STDEV(G8:G18),"-")</f>
        <v>270.17827447816745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204.3552462420935</v>
      </c>
      <c r="AK21" s="252"/>
      <c r="AL21" s="252">
        <f>IF(ISNUMBER(STDEV(AL8:AL18)),STDEV(AL8:AL18),"-")</f>
        <v>0</v>
      </c>
      <c r="AM21" s="254">
        <f>IF(ISNUMBER(STDEV(AM8:AM18)),STDEV(AM8:AM18),"-")</f>
        <v>0</v>
      </c>
      <c r="AN21" s="539">
        <f>IF(ISNUMBER(STDEV(AN8:AN18)),STDEV(AN8:AN18),"-")</f>
        <v>0</v>
      </c>
      <c r="AO21" s="540">
        <f>IF(ISNUMBER(STDEV(AO8:AO18)),STDEV(AO8:AO18),"-")</f>
        <v>2.3993894592491505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vJIOF+svuTKcaJlM9EThHgzboYX8UtiDfTOQHZ/4S59yxqq1Hr6gGoq25sIvKuRIQbm/mp2q0pMUiA3o70LmIA==" saltValue="TG4jQzv9zHTZkNLu8vEhB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9JYIOTJejb6LDlFuzSp8WJw5CDY2b5eCRUhgJsZOOB3Jn8595UCjHoEqYRbu+vJ4aVvVm7CHhth5avxL00L7w==" saltValue="n6zwTObvzqGE+2vWIwS50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LA RIOJA</v>
      </c>
    </row>
    <row r="4" spans="1:156" ht="13.5" thickBot="1">
      <c r="A4" t="str">
        <f>Criterios!A10</f>
        <v>Provincias</v>
      </c>
      <c r="B4" t="str">
        <f>Criterios!B10</f>
        <v>LA RIOJA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dudEnNHW52uFhrQ0OTUT6UeXH4m0j0uAIbSaKAVOTrEYp3Plb/uBX+K/DYCs56f16nFrVX6TPVK0ZZv0IagjA==" saltValue="4ps/UgOPgJI0zND0+l2KI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LA RIOJA</v>
      </c>
    </row>
    <row r="2" spans="1:78" ht="16.5" customHeight="1">
      <c r="C2" s="488" t="str">
        <f>Criterios!A10 &amp;"  "&amp;Criterios!B10 &amp; "  " &amp; IF(NOT(ISBLANK(Criterios!A11)),Criterios!A11 &amp;"  "&amp;Criterios!B11,"")</f>
        <v>Provincias  LA RIOJA  Resumenes por Partidos Judiciales  HARO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0.24675324675324675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0.17448089405901823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tRSziwAGJDIdkVA0nA8mDiukmFH7RyLVGPLdLvbye547MqApyQ60M0Ob4sbLZVbgm9FPZlLBAzY+P4nkXFdh2g==" saltValue="CfgbDVBibnhmop4iAzNUg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6IPNyhTgMFnIHp4rfwEHEr7rcYOul4ma8wRgNfCiGjSFqFuq4UXX1jxfEkNSWWOZtfOUOGifUr306NIlkMybqg==" saltValue="8K5uAnl8s4bwjpPQMbhO5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LA RIOJA</v>
      </c>
      <c r="W1"/>
      <c r="X1"/>
    </row>
    <row r="2" spans="1:78" ht="16.5" customHeight="1">
      <c r="C2" s="488" t="str">
        <f>Criterios!A10 &amp;"  "&amp;Criterios!B10 &amp; "  " &amp; IF(NOT(ISBLANK(Criterios!A11)),Criterios!A11 &amp;"  "&amp;Criterios!B11,"")</f>
        <v>Provincias  LA RIOJA  Resumenes por Partidos Judiciales  HARO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424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411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1487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454</v>
      </c>
      <c r="AM12" s="690">
        <f>IF(ISNUMBER(Datos!N12+DatosP!N16),Datos!N12+DatosP!N16," - ")</f>
        <v>763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5.0168112798264639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8.8195386702849387E-3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429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411</v>
      </c>
      <c r="AE13" s="939">
        <f t="shared" si="1"/>
        <v>0</v>
      </c>
      <c r="AF13" s="939">
        <f t="shared" si="1"/>
        <v>4</v>
      </c>
      <c r="AG13" s="939">
        <f t="shared" si="1"/>
        <v>0</v>
      </c>
      <c r="AH13" s="939">
        <f t="shared" si="1"/>
        <v>1487</v>
      </c>
      <c r="AI13" s="939">
        <f t="shared" si="1"/>
        <v>0</v>
      </c>
      <c r="AJ13" s="939">
        <f t="shared" si="1"/>
        <v>0</v>
      </c>
      <c r="AK13" s="939">
        <f t="shared" si="1"/>
        <v>0</v>
      </c>
      <c r="AL13" s="939">
        <f t="shared" si="1"/>
        <v>456</v>
      </c>
      <c r="AM13" s="939">
        <f t="shared" si="1"/>
        <v>764</v>
      </c>
      <c r="AN13" s="939">
        <f t="shared" si="1"/>
        <v>0</v>
      </c>
      <c r="AO13" s="939">
        <f t="shared" si="1"/>
        <v>0</v>
      </c>
      <c r="AP13" s="944">
        <f>IF(ISNUMBER(((Datos!L13/Datos!K13)*11)/factor_trimestre),((Datos!L13/Datos!K13)*11)/factor_trimestre," - ")</f>
        <v>5.2417391304347829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8.8195386702849387E-3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6.0196445275958839</v>
      </c>
      <c r="AQ18" s="944">
        <f>IF(ISNUMBER(((Datos!M18/Datos!L18)*11)/factor_trimestre),((Datos!M18/Datos!L18)*11)/factor_trimestre," - ")</f>
        <v>3.0273504273504277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-0.27906976744186046</v>
      </c>
      <c r="AW18" s="946">
        <f>IF(ISNUMBER((Datos!Q18-Datos!R18)/(Datos!S18-Datos!Q18+Datos!R18)),(Datos!Q18-Datos!R18)/(Datos!S18-Datos!Q18+Datos!R18)," - ")</f>
        <v>-1.1600928074245939E-2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429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411</v>
      </c>
      <c r="AE19" s="957">
        <f t="shared" si="5"/>
        <v>0</v>
      </c>
      <c r="AF19" s="958">
        <f t="shared" si="5"/>
        <v>4</v>
      </c>
      <c r="AG19" s="958">
        <f t="shared" si="5"/>
        <v>0</v>
      </c>
      <c r="AH19" s="958">
        <f t="shared" si="5"/>
        <v>1487</v>
      </c>
      <c r="AI19" s="958">
        <f t="shared" si="5"/>
        <v>0</v>
      </c>
      <c r="AJ19" s="959">
        <f t="shared" si="5"/>
        <v>0</v>
      </c>
      <c r="AK19" s="959">
        <f t="shared" si="5"/>
        <v>0</v>
      </c>
      <c r="AL19" s="951">
        <f t="shared" si="5"/>
        <v>456</v>
      </c>
      <c r="AM19" s="951">
        <f t="shared" si="5"/>
        <v>764</v>
      </c>
      <c r="AN19" s="951">
        <f t="shared" si="5"/>
        <v>0</v>
      </c>
      <c r="AO19" s="951">
        <f t="shared" si="5"/>
        <v>0</v>
      </c>
      <c r="AP19" s="951">
        <f>IF(ISNUMBER(((Datos!L19/Datos!K19)*11)/factor_trimestre),((Datos!L19/Datos!K19)*11)/factor_trimestre," - ")</f>
        <v>5.5393700787401574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-3.8461538461538464E-3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262.11956559300694</v>
      </c>
      <c r="AM21" s="736"/>
      <c r="AN21" s="736">
        <f>IF(ISNUMBER(STDEV(AN8:AN18)),STDEV(AN8:AN18),"-")</f>
        <v>0</v>
      </c>
      <c r="AO21" s="742">
        <f>IF(ISNUMBER(STDEV(AO8:AO18)),STDEV(AO8:AO18),"-")</f>
        <v>0</v>
      </c>
      <c r="AP21" s="779">
        <f>IF(ISNUMBER(STDEV(AP8:AP18)),STDEV(AP8:AP18),"-")</f>
        <v>2.8198915464137206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yKgqOG+GdA1RWBHzfGWC1j7jVxj+KiLu4ycgevr3UGlICnCi9c8q0WfU8QjkKs/IEsL9mVaxe9UNLMPfFSON+A==" saltValue="UeKcWDgGl0PzqBr6MusKF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